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240" windowWidth="8790" windowHeight="7605" firstSheet="22" activeTab="26"/>
  </bookViews>
  <sheets>
    <sheet name="ธค57" sheetId="11" r:id="rId1"/>
    <sheet name="มีค.58" sheetId="10" r:id="rId2"/>
    <sheet name="มิย.58" sheetId="8" r:id="rId3"/>
    <sheet name="กค.58" sheetId="9" r:id="rId4"/>
    <sheet name="สค.58" sheetId="6" r:id="rId5"/>
    <sheet name="กย58" sheetId="7" r:id="rId6"/>
    <sheet name="ตค58" sheetId="1" r:id="rId7"/>
    <sheet name="พย58" sheetId="2" r:id="rId8"/>
    <sheet name="ธค58" sheetId="3" r:id="rId9"/>
    <sheet name="มค59" sheetId="4" r:id="rId10"/>
    <sheet name="กพ59" sheetId="5" r:id="rId11"/>
    <sheet name="มีค59" sheetId="15" r:id="rId12"/>
    <sheet name="เมย59" sheetId="16" r:id="rId13"/>
    <sheet name="พค.59" sheetId="17" r:id="rId14"/>
    <sheet name="กค59" sheetId="20" r:id="rId15"/>
    <sheet name="สค59" sheetId="19" r:id="rId16"/>
    <sheet name="นำเสนอtrend" sheetId="14" r:id="rId17"/>
    <sheet name="Sheet5" sheetId="12" r:id="rId18"/>
    <sheet name="Sheet5 (2)" sheetId="13" r:id="rId19"/>
    <sheet name="plusสค59" sheetId="21" r:id="rId20"/>
    <sheet name="กย59" sheetId="18" r:id="rId21"/>
    <sheet name="plusก.ย59 " sheetId="22" r:id="rId22"/>
    <sheet name="กย59 (N)" sheetId="23" r:id="rId23"/>
    <sheet name="ต.ค.59" sheetId="25" r:id="rId24"/>
    <sheet name="พ.ย.59" sheetId="24" r:id="rId25"/>
    <sheet name="ธ.ค.59 " sheetId="26" r:id="rId26"/>
    <sheet name="ม.ค." sheetId="27" r:id="rId27"/>
  </sheets>
  <externalReferences>
    <externalReference r:id="rId28"/>
  </externalReferences>
  <definedNames>
    <definedName name="OLE_LINK1" localSheetId="6">ตค58!#REF!</definedName>
    <definedName name="OLE_LINK1" localSheetId="8">ธค58!#REF!</definedName>
    <definedName name="OLE_LINK1" localSheetId="7">พย58!#REF!</definedName>
  </definedNames>
  <calcPr calcId="145621"/>
</workbook>
</file>

<file path=xl/calcChain.xml><?xml version="1.0" encoding="utf-8"?>
<calcChain xmlns="http://schemas.openxmlformats.org/spreadsheetml/2006/main">
  <c r="G16" i="27" l="1"/>
  <c r="W20" i="27"/>
  <c r="V20" i="27"/>
  <c r="U20" i="27"/>
  <c r="T20" i="27"/>
  <c r="S20" i="27"/>
  <c r="R20" i="27"/>
  <c r="M20" i="27"/>
  <c r="K20" i="27"/>
  <c r="L20" i="27" s="1"/>
  <c r="J20" i="27"/>
  <c r="G20" i="27"/>
  <c r="W19" i="27"/>
  <c r="V19" i="27"/>
  <c r="U19" i="27"/>
  <c r="T19" i="27"/>
  <c r="S19" i="27"/>
  <c r="R19" i="27"/>
  <c r="M19" i="27"/>
  <c r="K19" i="27"/>
  <c r="L19" i="27" s="1"/>
  <c r="J19" i="27"/>
  <c r="G19" i="27"/>
  <c r="W18" i="27"/>
  <c r="V18" i="27"/>
  <c r="U18" i="27"/>
  <c r="T18" i="27"/>
  <c r="S18" i="27"/>
  <c r="R18" i="27"/>
  <c r="M18" i="27"/>
  <c r="K18" i="27"/>
  <c r="L18" i="27" s="1"/>
  <c r="J18" i="27"/>
  <c r="G18" i="27"/>
  <c r="W17" i="27"/>
  <c r="V17" i="27"/>
  <c r="U17" i="27"/>
  <c r="T17" i="27"/>
  <c r="S17" i="27"/>
  <c r="R17" i="27"/>
  <c r="M17" i="27"/>
  <c r="K17" i="27"/>
  <c r="L17" i="27" s="1"/>
  <c r="J17" i="27"/>
  <c r="G17" i="27"/>
  <c r="W16" i="27"/>
  <c r="V16" i="27"/>
  <c r="U16" i="27"/>
  <c r="T16" i="27"/>
  <c r="S16" i="27"/>
  <c r="R16" i="27"/>
  <c r="M16" i="27"/>
  <c r="K16" i="27"/>
  <c r="L16" i="27" s="1"/>
  <c r="J16" i="27"/>
  <c r="W15" i="27"/>
  <c r="V15" i="27"/>
  <c r="U15" i="27"/>
  <c r="T15" i="27"/>
  <c r="S15" i="27"/>
  <c r="R15" i="27"/>
  <c r="M15" i="27"/>
  <c r="K15" i="27"/>
  <c r="L15" i="27" s="1"/>
  <c r="J15" i="27"/>
  <c r="G15" i="27"/>
  <c r="W14" i="27"/>
  <c r="V14" i="27"/>
  <c r="U14" i="27"/>
  <c r="T14" i="27"/>
  <c r="S14" i="27"/>
  <c r="R14" i="27"/>
  <c r="M14" i="27"/>
  <c r="K14" i="27"/>
  <c r="L14" i="27" s="1"/>
  <c r="J14" i="27"/>
  <c r="G14" i="27"/>
  <c r="W13" i="27"/>
  <c r="V13" i="27"/>
  <c r="U13" i="27"/>
  <c r="T13" i="27"/>
  <c r="S13" i="27"/>
  <c r="R13" i="27"/>
  <c r="M13" i="27"/>
  <c r="K13" i="27"/>
  <c r="L13" i="27" s="1"/>
  <c r="J13" i="27"/>
  <c r="G13" i="27"/>
  <c r="W12" i="27"/>
  <c r="V12" i="27"/>
  <c r="U12" i="27"/>
  <c r="T12" i="27"/>
  <c r="S12" i="27"/>
  <c r="R12" i="27"/>
  <c r="M12" i="27"/>
  <c r="K12" i="27"/>
  <c r="L12" i="27" s="1"/>
  <c r="J12" i="27"/>
  <c r="G12" i="27"/>
  <c r="W11" i="27"/>
  <c r="V11" i="27"/>
  <c r="U11" i="27"/>
  <c r="T11" i="27"/>
  <c r="S11" i="27"/>
  <c r="R11" i="27"/>
  <c r="M11" i="27"/>
  <c r="K11" i="27"/>
  <c r="L11" i="27" s="1"/>
  <c r="J11" i="27"/>
  <c r="G11" i="27"/>
  <c r="W10" i="27"/>
  <c r="V10" i="27"/>
  <c r="U10" i="27"/>
  <c r="T10" i="27"/>
  <c r="S10" i="27"/>
  <c r="R10" i="27"/>
  <c r="M10" i="27"/>
  <c r="K10" i="27"/>
  <c r="L10" i="27" s="1"/>
  <c r="J10" i="27"/>
  <c r="G10" i="27"/>
  <c r="W9" i="27"/>
  <c r="V9" i="27"/>
  <c r="U9" i="27"/>
  <c r="T9" i="27"/>
  <c r="S9" i="27"/>
  <c r="R9" i="27"/>
  <c r="M9" i="27"/>
  <c r="K9" i="27"/>
  <c r="L9" i="27" s="1"/>
  <c r="J9" i="27"/>
  <c r="G9" i="27"/>
  <c r="W8" i="27"/>
  <c r="V8" i="27"/>
  <c r="U8" i="27"/>
  <c r="T8" i="27"/>
  <c r="S8" i="27"/>
  <c r="R8" i="27"/>
  <c r="M8" i="27"/>
  <c r="K8" i="27"/>
  <c r="L8" i="27" s="1"/>
  <c r="J8" i="27"/>
  <c r="G8" i="27"/>
  <c r="W7" i="27"/>
  <c r="V7" i="27"/>
  <c r="U7" i="27"/>
  <c r="T7" i="27"/>
  <c r="S7" i="27"/>
  <c r="R7" i="27"/>
  <c r="M7" i="27"/>
  <c r="K7" i="27"/>
  <c r="L7" i="27" s="1"/>
  <c r="J7" i="27"/>
  <c r="G7" i="27"/>
  <c r="W6" i="27"/>
  <c r="V6" i="27"/>
  <c r="U6" i="27"/>
  <c r="T6" i="27"/>
  <c r="S6" i="27"/>
  <c r="R6" i="27"/>
  <c r="M6" i="27"/>
  <c r="K6" i="27"/>
  <c r="L6" i="27" s="1"/>
  <c r="J6" i="27"/>
  <c r="G6" i="27"/>
  <c r="W5" i="27"/>
  <c r="V5" i="27"/>
  <c r="U5" i="27"/>
  <c r="T5" i="27"/>
  <c r="S5" i="27"/>
  <c r="R5" i="27"/>
  <c r="M5" i="27"/>
  <c r="K5" i="27"/>
  <c r="L5" i="27" s="1"/>
  <c r="J5" i="27"/>
  <c r="G5" i="27"/>
  <c r="Y20" i="27" l="1"/>
  <c r="N20" i="27" s="1"/>
  <c r="Y12" i="27"/>
  <c r="N12" i="27" s="1"/>
  <c r="Y11" i="27"/>
  <c r="N11" i="27" s="1"/>
  <c r="Y10" i="27"/>
  <c r="N10" i="27" s="1"/>
  <c r="Y15" i="27"/>
  <c r="N15" i="27" s="1"/>
  <c r="Y19" i="27"/>
  <c r="N19" i="27" s="1"/>
  <c r="N6" i="27"/>
  <c r="Y17" i="27"/>
  <c r="N17" i="27" s="1"/>
  <c r="Y6" i="27"/>
  <c r="Y7" i="27"/>
  <c r="N7" i="27" s="1"/>
  <c r="Y8" i="27"/>
  <c r="N8" i="27" s="1"/>
  <c r="Y13" i="27"/>
  <c r="N13" i="27" s="1"/>
  <c r="Y9" i="27"/>
  <c r="N9" i="27" s="1"/>
  <c r="Y18" i="27"/>
  <c r="N18" i="27" s="1"/>
  <c r="Y5" i="27"/>
  <c r="N5" i="27" s="1"/>
  <c r="Y14" i="27"/>
  <c r="N14" i="27" s="1"/>
  <c r="Y16" i="27"/>
  <c r="N16" i="27" s="1"/>
  <c r="T20" i="26"/>
  <c r="T19" i="26"/>
  <c r="G20" i="26"/>
  <c r="G11" i="26" l="1"/>
  <c r="K6" i="26"/>
  <c r="L6" i="26" s="1"/>
  <c r="K7" i="26"/>
  <c r="L7" i="26" s="1"/>
  <c r="K8" i="26"/>
  <c r="L8" i="26" s="1"/>
  <c r="K9" i="26"/>
  <c r="K10" i="26"/>
  <c r="L10" i="26" s="1"/>
  <c r="K11" i="26"/>
  <c r="K12" i="26"/>
  <c r="L12" i="26" s="1"/>
  <c r="K13" i="26"/>
  <c r="L13" i="26" s="1"/>
  <c r="K14" i="26"/>
  <c r="L14" i="26" s="1"/>
  <c r="K15" i="26"/>
  <c r="L15" i="26" s="1"/>
  <c r="K16" i="26"/>
  <c r="L16" i="26" s="1"/>
  <c r="K17" i="26"/>
  <c r="L17" i="26" s="1"/>
  <c r="K18" i="26"/>
  <c r="K19" i="26"/>
  <c r="L19" i="26" s="1"/>
  <c r="K20" i="26"/>
  <c r="L20" i="26" s="1"/>
  <c r="K5" i="26"/>
  <c r="L5" i="26" s="1"/>
  <c r="W20" i="26"/>
  <c r="V20" i="26"/>
  <c r="U20" i="26"/>
  <c r="S20" i="26"/>
  <c r="R20" i="26"/>
  <c r="M20" i="26"/>
  <c r="J20" i="26"/>
  <c r="W19" i="26"/>
  <c r="V19" i="26"/>
  <c r="U19" i="26"/>
  <c r="S19" i="26"/>
  <c r="R19" i="26"/>
  <c r="M19" i="26"/>
  <c r="J19" i="26"/>
  <c r="G19" i="26"/>
  <c r="W18" i="26"/>
  <c r="V18" i="26"/>
  <c r="U18" i="26"/>
  <c r="T18" i="26"/>
  <c r="S18" i="26"/>
  <c r="R18" i="26"/>
  <c r="M18" i="26"/>
  <c r="L18" i="26"/>
  <c r="J18" i="26"/>
  <c r="G18" i="26"/>
  <c r="W17" i="26"/>
  <c r="V17" i="26"/>
  <c r="U17" i="26"/>
  <c r="T17" i="26"/>
  <c r="S17" i="26"/>
  <c r="R17" i="26"/>
  <c r="M17" i="26"/>
  <c r="J17" i="26"/>
  <c r="G17" i="26"/>
  <c r="W16" i="26"/>
  <c r="V16" i="26"/>
  <c r="U16" i="26"/>
  <c r="T16" i="26"/>
  <c r="S16" i="26"/>
  <c r="R16" i="26"/>
  <c r="M16" i="26"/>
  <c r="J16" i="26"/>
  <c r="G16" i="26"/>
  <c r="W15" i="26"/>
  <c r="V15" i="26"/>
  <c r="U15" i="26"/>
  <c r="T15" i="26"/>
  <c r="S15" i="26"/>
  <c r="R15" i="26"/>
  <c r="M15" i="26"/>
  <c r="J15" i="26"/>
  <c r="G15" i="26"/>
  <c r="W14" i="26"/>
  <c r="V14" i="26"/>
  <c r="U14" i="26"/>
  <c r="T14" i="26"/>
  <c r="S14" i="26"/>
  <c r="R14" i="26"/>
  <c r="M14" i="26"/>
  <c r="J14" i="26"/>
  <c r="G14" i="26"/>
  <c r="W13" i="26"/>
  <c r="V13" i="26"/>
  <c r="U13" i="26"/>
  <c r="T13" i="26"/>
  <c r="S13" i="26"/>
  <c r="R13" i="26"/>
  <c r="M13" i="26"/>
  <c r="J13" i="26"/>
  <c r="G13" i="26"/>
  <c r="W12" i="26"/>
  <c r="V12" i="26"/>
  <c r="U12" i="26"/>
  <c r="T12" i="26"/>
  <c r="S12" i="26"/>
  <c r="R12" i="26"/>
  <c r="M12" i="26"/>
  <c r="J12" i="26"/>
  <c r="G12" i="26"/>
  <c r="W11" i="26"/>
  <c r="V11" i="26"/>
  <c r="U11" i="26"/>
  <c r="T11" i="26"/>
  <c r="S11" i="26"/>
  <c r="R11" i="26"/>
  <c r="M11" i="26"/>
  <c r="L11" i="26"/>
  <c r="J11" i="26"/>
  <c r="W10" i="26"/>
  <c r="V10" i="26"/>
  <c r="U10" i="26"/>
  <c r="T10" i="26"/>
  <c r="S10" i="26"/>
  <c r="R10" i="26"/>
  <c r="M10" i="26"/>
  <c r="J10" i="26"/>
  <c r="G10" i="26"/>
  <c r="W9" i="26"/>
  <c r="V9" i="26"/>
  <c r="U9" i="26"/>
  <c r="T9" i="26"/>
  <c r="S9" i="26"/>
  <c r="R9" i="26"/>
  <c r="M9" i="26"/>
  <c r="L9" i="26"/>
  <c r="J9" i="26"/>
  <c r="G9" i="26"/>
  <c r="W8" i="26"/>
  <c r="V8" i="26"/>
  <c r="U8" i="26"/>
  <c r="T8" i="26"/>
  <c r="S8" i="26"/>
  <c r="R8" i="26"/>
  <c r="M8" i="26"/>
  <c r="J8" i="26"/>
  <c r="G8" i="26"/>
  <c r="W7" i="26"/>
  <c r="V7" i="26"/>
  <c r="U7" i="26"/>
  <c r="T7" i="26"/>
  <c r="S7" i="26"/>
  <c r="R7" i="26"/>
  <c r="M7" i="26"/>
  <c r="J7" i="26"/>
  <c r="G7" i="26"/>
  <c r="W6" i="26"/>
  <c r="V6" i="26"/>
  <c r="U6" i="26"/>
  <c r="T6" i="26"/>
  <c r="S6" i="26"/>
  <c r="R6" i="26"/>
  <c r="M6" i="26"/>
  <c r="J6" i="26"/>
  <c r="G6" i="26"/>
  <c r="W5" i="26"/>
  <c r="V5" i="26"/>
  <c r="U5" i="26"/>
  <c r="T5" i="26"/>
  <c r="S5" i="26"/>
  <c r="R5" i="26"/>
  <c r="M5" i="26"/>
  <c r="J5" i="26"/>
  <c r="G5" i="26"/>
  <c r="Y20" i="26" l="1"/>
  <c r="N20" i="26" s="1"/>
  <c r="Y17" i="26"/>
  <c r="N17" i="26" s="1"/>
  <c r="Y15" i="26"/>
  <c r="N15" i="26" s="1"/>
  <c r="Y12" i="26"/>
  <c r="N12" i="26" s="1"/>
  <c r="Y7" i="26"/>
  <c r="N7" i="26" s="1"/>
  <c r="Y5" i="26"/>
  <c r="N5" i="26" s="1"/>
  <c r="N6" i="26"/>
  <c r="Y14" i="26"/>
  <c r="N14" i="26" s="1"/>
  <c r="Y19" i="26"/>
  <c r="N19" i="26" s="1"/>
  <c r="Y6" i="26"/>
  <c r="Y8" i="26"/>
  <c r="N8" i="26" s="1"/>
  <c r="Y9" i="26"/>
  <c r="N9" i="26" s="1"/>
  <c r="Y11" i="26"/>
  <c r="N11" i="26" s="1"/>
  <c r="Y16" i="26"/>
  <c r="N16" i="26" s="1"/>
  <c r="Y10" i="26"/>
  <c r="N10" i="26" s="1"/>
  <c r="Y13" i="26"/>
  <c r="N13" i="26" s="1"/>
  <c r="Y18" i="26"/>
  <c r="N18" i="26" s="1"/>
  <c r="G14" i="25"/>
  <c r="G9" i="25"/>
  <c r="G18" i="24" l="1"/>
  <c r="G6" i="24"/>
  <c r="W20" i="25"/>
  <c r="V20" i="25"/>
  <c r="U20" i="25"/>
  <c r="T20" i="25"/>
  <c r="S20" i="25"/>
  <c r="R20" i="25"/>
  <c r="M20" i="25"/>
  <c r="K20" i="25"/>
  <c r="L20" i="25" s="1"/>
  <c r="J20" i="25"/>
  <c r="G20" i="25"/>
  <c r="W19" i="25"/>
  <c r="V19" i="25"/>
  <c r="U19" i="25"/>
  <c r="T19" i="25"/>
  <c r="S19" i="25"/>
  <c r="R19" i="25"/>
  <c r="M19" i="25"/>
  <c r="K19" i="25"/>
  <c r="L19" i="25" s="1"/>
  <c r="J19" i="25"/>
  <c r="G19" i="25"/>
  <c r="W18" i="25"/>
  <c r="V18" i="25"/>
  <c r="U18" i="25"/>
  <c r="T18" i="25"/>
  <c r="S18" i="25"/>
  <c r="R18" i="25"/>
  <c r="M18" i="25"/>
  <c r="K18" i="25"/>
  <c r="L18" i="25" s="1"/>
  <c r="J18" i="25"/>
  <c r="G18" i="25"/>
  <c r="W17" i="25"/>
  <c r="V17" i="25"/>
  <c r="U17" i="25"/>
  <c r="T17" i="25"/>
  <c r="S17" i="25"/>
  <c r="R17" i="25"/>
  <c r="M17" i="25"/>
  <c r="L17" i="25"/>
  <c r="K17" i="25"/>
  <c r="J17" i="25"/>
  <c r="G17" i="25"/>
  <c r="W16" i="25"/>
  <c r="V16" i="25"/>
  <c r="U16" i="25"/>
  <c r="T16" i="25"/>
  <c r="S16" i="25"/>
  <c r="R16" i="25"/>
  <c r="M16" i="25"/>
  <c r="K16" i="25"/>
  <c r="L16" i="25" s="1"/>
  <c r="J16" i="25"/>
  <c r="G16" i="25"/>
  <c r="W15" i="25"/>
  <c r="V15" i="25"/>
  <c r="U15" i="25"/>
  <c r="T15" i="25"/>
  <c r="S15" i="25"/>
  <c r="R15" i="25"/>
  <c r="M15" i="25"/>
  <c r="K15" i="25"/>
  <c r="L15" i="25" s="1"/>
  <c r="J15" i="25"/>
  <c r="G15" i="25"/>
  <c r="W14" i="25"/>
  <c r="V14" i="25"/>
  <c r="U14" i="25"/>
  <c r="T14" i="25"/>
  <c r="S14" i="25"/>
  <c r="R14" i="25"/>
  <c r="M14" i="25"/>
  <c r="K14" i="25"/>
  <c r="L14" i="25" s="1"/>
  <c r="J14" i="25"/>
  <c r="W13" i="25"/>
  <c r="V13" i="25"/>
  <c r="U13" i="25"/>
  <c r="T13" i="25"/>
  <c r="S13" i="25"/>
  <c r="R13" i="25"/>
  <c r="M13" i="25"/>
  <c r="K13" i="25"/>
  <c r="L13" i="25" s="1"/>
  <c r="J13" i="25"/>
  <c r="G13" i="25"/>
  <c r="W12" i="25"/>
  <c r="V12" i="25"/>
  <c r="U12" i="25"/>
  <c r="T12" i="25"/>
  <c r="S12" i="25"/>
  <c r="R12" i="25"/>
  <c r="M12" i="25"/>
  <c r="K12" i="25"/>
  <c r="L12" i="25" s="1"/>
  <c r="J12" i="25"/>
  <c r="G12" i="25"/>
  <c r="W11" i="25"/>
  <c r="V11" i="25"/>
  <c r="U11" i="25"/>
  <c r="T11" i="25"/>
  <c r="S11" i="25"/>
  <c r="R11" i="25"/>
  <c r="M11" i="25"/>
  <c r="K11" i="25"/>
  <c r="L11" i="25" s="1"/>
  <c r="J11" i="25"/>
  <c r="G11" i="25"/>
  <c r="W10" i="25"/>
  <c r="V10" i="25"/>
  <c r="U10" i="25"/>
  <c r="T10" i="25"/>
  <c r="S10" i="25"/>
  <c r="R10" i="25"/>
  <c r="M10" i="25"/>
  <c r="K10" i="25"/>
  <c r="L10" i="25" s="1"/>
  <c r="J10" i="25"/>
  <c r="G10" i="25"/>
  <c r="W9" i="25"/>
  <c r="V9" i="25"/>
  <c r="U9" i="25"/>
  <c r="T9" i="25"/>
  <c r="S9" i="25"/>
  <c r="R9" i="25"/>
  <c r="M9" i="25"/>
  <c r="K9" i="25"/>
  <c r="L9" i="25" s="1"/>
  <c r="J9" i="25"/>
  <c r="W8" i="25"/>
  <c r="V8" i="25"/>
  <c r="U8" i="25"/>
  <c r="T8" i="25"/>
  <c r="S8" i="25"/>
  <c r="R8" i="25"/>
  <c r="M8" i="25"/>
  <c r="K8" i="25"/>
  <c r="L8" i="25" s="1"/>
  <c r="J8" i="25"/>
  <c r="G8" i="25"/>
  <c r="W7" i="25"/>
  <c r="V7" i="25"/>
  <c r="U7" i="25"/>
  <c r="T7" i="25"/>
  <c r="S7" i="25"/>
  <c r="R7" i="25"/>
  <c r="M7" i="25"/>
  <c r="K7" i="25"/>
  <c r="L7" i="25" s="1"/>
  <c r="J7" i="25"/>
  <c r="G7" i="25"/>
  <c r="W6" i="25"/>
  <c r="V6" i="25"/>
  <c r="U6" i="25"/>
  <c r="T6" i="25"/>
  <c r="S6" i="25"/>
  <c r="R6" i="25"/>
  <c r="M6" i="25"/>
  <c r="K6" i="25"/>
  <c r="L6" i="25" s="1"/>
  <c r="J6" i="25"/>
  <c r="G6" i="25"/>
  <c r="W5" i="25"/>
  <c r="V5" i="25"/>
  <c r="U5" i="25"/>
  <c r="T5" i="25"/>
  <c r="S5" i="25"/>
  <c r="R5" i="25"/>
  <c r="M5" i="25"/>
  <c r="L5" i="25"/>
  <c r="K5" i="25"/>
  <c r="J5" i="25"/>
  <c r="G5" i="25"/>
  <c r="W16" i="24"/>
  <c r="V16" i="24"/>
  <c r="U16" i="24"/>
  <c r="T16" i="24"/>
  <c r="S16" i="24"/>
  <c r="R16" i="24"/>
  <c r="M16" i="24"/>
  <c r="K16" i="24"/>
  <c r="L16" i="24" s="1"/>
  <c r="J16" i="24"/>
  <c r="G16" i="24"/>
  <c r="W11" i="24"/>
  <c r="V11" i="24"/>
  <c r="U11" i="24"/>
  <c r="T11" i="24"/>
  <c r="S11" i="24"/>
  <c r="R11" i="24"/>
  <c r="M11" i="24"/>
  <c r="K11" i="24"/>
  <c r="L11" i="24" s="1"/>
  <c r="J11" i="24"/>
  <c r="G11" i="24"/>
  <c r="W5" i="24"/>
  <c r="V5" i="24"/>
  <c r="U5" i="24"/>
  <c r="T5" i="24"/>
  <c r="S5" i="24"/>
  <c r="R5" i="24"/>
  <c r="M5" i="24"/>
  <c r="K5" i="24"/>
  <c r="L5" i="24" s="1"/>
  <c r="J5" i="24"/>
  <c r="G5" i="24"/>
  <c r="W10" i="24"/>
  <c r="V10" i="24"/>
  <c r="U10" i="24"/>
  <c r="T10" i="24"/>
  <c r="S10" i="24"/>
  <c r="R10" i="24"/>
  <c r="M10" i="24"/>
  <c r="K10" i="24"/>
  <c r="L10" i="24" s="1"/>
  <c r="J10" i="24"/>
  <c r="G10" i="24"/>
  <c r="W19" i="24"/>
  <c r="V19" i="24"/>
  <c r="U19" i="24"/>
  <c r="T19" i="24"/>
  <c r="S19" i="24"/>
  <c r="R19" i="24"/>
  <c r="M19" i="24"/>
  <c r="K19" i="24"/>
  <c r="L19" i="24" s="1"/>
  <c r="J19" i="24"/>
  <c r="G19" i="24"/>
  <c r="W13" i="24"/>
  <c r="V13" i="24"/>
  <c r="U13" i="24"/>
  <c r="T13" i="24"/>
  <c r="S13" i="24"/>
  <c r="R13" i="24"/>
  <c r="M13" i="24"/>
  <c r="K13" i="24"/>
  <c r="L13" i="24" s="1"/>
  <c r="J13" i="24"/>
  <c r="G13" i="24"/>
  <c r="W7" i="24"/>
  <c r="V7" i="24"/>
  <c r="U7" i="24"/>
  <c r="T7" i="24"/>
  <c r="S7" i="24"/>
  <c r="R7" i="24"/>
  <c r="M7" i="24"/>
  <c r="K7" i="24"/>
  <c r="L7" i="24" s="1"/>
  <c r="J7" i="24"/>
  <c r="G7" i="24"/>
  <c r="W9" i="24"/>
  <c r="V9" i="24"/>
  <c r="U9" i="24"/>
  <c r="T9" i="24"/>
  <c r="S9" i="24"/>
  <c r="R9" i="24"/>
  <c r="M9" i="24"/>
  <c r="K9" i="24"/>
  <c r="L9" i="24" s="1"/>
  <c r="J9" i="24"/>
  <c r="G9" i="24"/>
  <c r="W8" i="24"/>
  <c r="V8" i="24"/>
  <c r="U8" i="24"/>
  <c r="T8" i="24"/>
  <c r="S8" i="24"/>
  <c r="R8" i="24"/>
  <c r="M8" i="24"/>
  <c r="K8" i="24"/>
  <c r="L8" i="24" s="1"/>
  <c r="J8" i="24"/>
  <c r="G8" i="24"/>
  <c r="W15" i="24"/>
  <c r="V15" i="24"/>
  <c r="U15" i="24"/>
  <c r="T15" i="24"/>
  <c r="S15" i="24"/>
  <c r="R15" i="24"/>
  <c r="M15" i="24"/>
  <c r="K15" i="24"/>
  <c r="L15" i="24" s="1"/>
  <c r="J15" i="24"/>
  <c r="G15" i="24"/>
  <c r="W14" i="24"/>
  <c r="V14" i="24"/>
  <c r="U14" i="24"/>
  <c r="T14" i="24"/>
  <c r="S14" i="24"/>
  <c r="R14" i="24"/>
  <c r="M14" i="24"/>
  <c r="K14" i="24"/>
  <c r="L14" i="24" s="1"/>
  <c r="J14" i="24"/>
  <c r="G14" i="24"/>
  <c r="W18" i="24"/>
  <c r="V18" i="24"/>
  <c r="U18" i="24"/>
  <c r="T18" i="24"/>
  <c r="S18" i="24"/>
  <c r="R18" i="24"/>
  <c r="M18" i="24"/>
  <c r="K18" i="24"/>
  <c r="L18" i="24" s="1"/>
  <c r="J18" i="24"/>
  <c r="W20" i="24"/>
  <c r="V20" i="24"/>
  <c r="U20" i="24"/>
  <c r="T20" i="24"/>
  <c r="S20" i="24"/>
  <c r="R20" i="24"/>
  <c r="M20" i="24"/>
  <c r="K20" i="24"/>
  <c r="L20" i="24" s="1"/>
  <c r="J20" i="24"/>
  <c r="G20" i="24"/>
  <c r="W12" i="24"/>
  <c r="V12" i="24"/>
  <c r="U12" i="24"/>
  <c r="T12" i="24"/>
  <c r="S12" i="24"/>
  <c r="R12" i="24"/>
  <c r="M12" i="24"/>
  <c r="K12" i="24"/>
  <c r="L12" i="24" s="1"/>
  <c r="J12" i="24"/>
  <c r="G12" i="24"/>
  <c r="W6" i="24"/>
  <c r="V6" i="24"/>
  <c r="U6" i="24"/>
  <c r="T6" i="24"/>
  <c r="S6" i="24"/>
  <c r="R6" i="24"/>
  <c r="M6" i="24"/>
  <c r="K6" i="24"/>
  <c r="L6" i="24" s="1"/>
  <c r="J6" i="24"/>
  <c r="N6" i="24" s="1"/>
  <c r="W17" i="24"/>
  <c r="V17" i="24"/>
  <c r="U17" i="24"/>
  <c r="T17" i="24"/>
  <c r="S17" i="24"/>
  <c r="R17" i="24"/>
  <c r="M17" i="24"/>
  <c r="K17" i="24"/>
  <c r="L17" i="24" s="1"/>
  <c r="J17" i="24"/>
  <c r="G17" i="24"/>
  <c r="Y20" i="25" l="1"/>
  <c r="N20" i="25" s="1"/>
  <c r="Y19" i="25"/>
  <c r="N19" i="25" s="1"/>
  <c r="Y18" i="25"/>
  <c r="N18" i="25" s="1"/>
  <c r="Y17" i="25"/>
  <c r="N17" i="25" s="1"/>
  <c r="Y16" i="25"/>
  <c r="N16" i="25" s="1"/>
  <c r="Y15" i="25"/>
  <c r="N15" i="25" s="1"/>
  <c r="Y14" i="25"/>
  <c r="N14" i="25" s="1"/>
  <c r="Y13" i="25"/>
  <c r="N13" i="25" s="1"/>
  <c r="Y12" i="25"/>
  <c r="N12" i="25" s="1"/>
  <c r="Y11" i="25"/>
  <c r="N11" i="25" s="1"/>
  <c r="Y10" i="25"/>
  <c r="N10" i="25" s="1"/>
  <c r="Y9" i="25"/>
  <c r="N9" i="25" s="1"/>
  <c r="Y8" i="25"/>
  <c r="N8" i="25" s="1"/>
  <c r="Y7" i="25"/>
  <c r="N7" i="25" s="1"/>
  <c r="N6" i="25"/>
  <c r="Y6" i="25"/>
  <c r="Y5" i="25"/>
  <c r="N5" i="25" s="1"/>
  <c r="Y16" i="24"/>
  <c r="N16" i="24" s="1"/>
  <c r="Y10" i="24"/>
  <c r="N10" i="24" s="1"/>
  <c r="Y17" i="24"/>
  <c r="N17" i="24" s="1"/>
  <c r="Y7" i="24"/>
  <c r="N7" i="24" s="1"/>
  <c r="Y19" i="24"/>
  <c r="N19" i="24" s="1"/>
  <c r="Y11" i="24"/>
  <c r="N11" i="24" s="1"/>
  <c r="Y14" i="24"/>
  <c r="N14" i="24" s="1"/>
  <c r="Y6" i="24"/>
  <c r="Y12" i="24"/>
  <c r="N12" i="24" s="1"/>
  <c r="Y18" i="24"/>
  <c r="N18" i="24" s="1"/>
  <c r="Y5" i="24"/>
  <c r="N5" i="24" s="1"/>
  <c r="Y13" i="24"/>
  <c r="N13" i="24" s="1"/>
  <c r="Y8" i="24"/>
  <c r="N8" i="24" s="1"/>
  <c r="Y20" i="24"/>
  <c r="N20" i="24" s="1"/>
  <c r="Y15" i="24"/>
  <c r="N15" i="24" s="1"/>
  <c r="Y9" i="24"/>
  <c r="N9" i="24" s="1"/>
  <c r="M5" i="23"/>
  <c r="W7" i="23"/>
  <c r="W5" i="23"/>
  <c r="W8" i="23"/>
  <c r="W9" i="23"/>
  <c r="W10" i="23"/>
  <c r="W12" i="23"/>
  <c r="W13" i="23"/>
  <c r="W11" i="23"/>
  <c r="W14" i="23"/>
  <c r="W15" i="23"/>
  <c r="W16" i="23"/>
  <c r="W17" i="23"/>
  <c r="W18" i="23"/>
  <c r="W19" i="23"/>
  <c r="W20" i="23"/>
  <c r="W6" i="23"/>
  <c r="M7" i="23"/>
  <c r="M8" i="23"/>
  <c r="M9" i="23"/>
  <c r="M10" i="23"/>
  <c r="M12" i="23"/>
  <c r="M13" i="23"/>
  <c r="M11" i="23"/>
  <c r="M14" i="23"/>
  <c r="M15" i="23"/>
  <c r="M16" i="23"/>
  <c r="M17" i="23"/>
  <c r="M18" i="23"/>
  <c r="M19" i="23"/>
  <c r="M20" i="23"/>
  <c r="M6" i="23"/>
  <c r="AB6" i="18"/>
  <c r="AB7" i="18"/>
  <c r="AB8" i="18"/>
  <c r="AB9" i="18"/>
  <c r="AB10" i="18"/>
  <c r="AB11" i="18"/>
  <c r="AB12" i="18"/>
  <c r="AB13" i="18"/>
  <c r="AB14" i="18"/>
  <c r="AB15" i="18"/>
  <c r="AB16" i="18"/>
  <c r="AB17" i="18"/>
  <c r="AB18" i="18"/>
  <c r="AB19" i="18"/>
  <c r="AB20" i="18"/>
  <c r="AB5" i="18"/>
  <c r="J20" i="23"/>
  <c r="G20" i="23"/>
  <c r="V20" i="23"/>
  <c r="U20" i="23"/>
  <c r="T20" i="23"/>
  <c r="S20" i="23"/>
  <c r="R20" i="23"/>
  <c r="K20" i="23"/>
  <c r="L20" i="23" s="1"/>
  <c r="J19" i="23"/>
  <c r="G19" i="23"/>
  <c r="V19" i="23"/>
  <c r="U19" i="23"/>
  <c r="T19" i="23"/>
  <c r="S19" i="23"/>
  <c r="R19" i="23"/>
  <c r="K19" i="23"/>
  <c r="L19" i="23" s="1"/>
  <c r="J18" i="23"/>
  <c r="G18" i="23"/>
  <c r="V18" i="23"/>
  <c r="U18" i="23"/>
  <c r="T18" i="23"/>
  <c r="S18" i="23"/>
  <c r="R18" i="23"/>
  <c r="K18" i="23"/>
  <c r="L18" i="23" s="1"/>
  <c r="J17" i="23"/>
  <c r="G17" i="23"/>
  <c r="V17" i="23"/>
  <c r="U17" i="23"/>
  <c r="T17" i="23"/>
  <c r="S17" i="23"/>
  <c r="R17" i="23"/>
  <c r="K17" i="23"/>
  <c r="L17" i="23" s="1"/>
  <c r="J16" i="23"/>
  <c r="G16" i="23"/>
  <c r="V16" i="23"/>
  <c r="U16" i="23"/>
  <c r="T16" i="23"/>
  <c r="S16" i="23"/>
  <c r="R16" i="23"/>
  <c r="K16" i="23"/>
  <c r="L16" i="23" s="1"/>
  <c r="J15" i="23"/>
  <c r="G15" i="23"/>
  <c r="V15" i="23"/>
  <c r="U15" i="23"/>
  <c r="T15" i="23"/>
  <c r="S15" i="23"/>
  <c r="R15" i="23"/>
  <c r="K15" i="23"/>
  <c r="L15" i="23" s="1"/>
  <c r="J14" i="23"/>
  <c r="G14" i="23"/>
  <c r="V14" i="23"/>
  <c r="U14" i="23"/>
  <c r="T14" i="23"/>
  <c r="S14" i="23"/>
  <c r="R14" i="23"/>
  <c r="K14" i="23"/>
  <c r="L14" i="23" s="1"/>
  <c r="J11" i="23"/>
  <c r="G11" i="23"/>
  <c r="V11" i="23"/>
  <c r="U11" i="23"/>
  <c r="T11" i="23"/>
  <c r="S11" i="23"/>
  <c r="R11" i="23"/>
  <c r="K11" i="23"/>
  <c r="L11" i="23" s="1"/>
  <c r="J13" i="23"/>
  <c r="G13" i="23"/>
  <c r="V13" i="23"/>
  <c r="U13" i="23"/>
  <c r="T13" i="23"/>
  <c r="S13" i="23"/>
  <c r="R13" i="23"/>
  <c r="K13" i="23"/>
  <c r="L13" i="23" s="1"/>
  <c r="J12" i="23"/>
  <c r="G12" i="23"/>
  <c r="V12" i="23"/>
  <c r="U12" i="23"/>
  <c r="T12" i="23"/>
  <c r="S12" i="23"/>
  <c r="R12" i="23"/>
  <c r="K12" i="23"/>
  <c r="L12" i="23" s="1"/>
  <c r="J10" i="23"/>
  <c r="G10" i="23"/>
  <c r="V10" i="23"/>
  <c r="U10" i="23"/>
  <c r="T10" i="23"/>
  <c r="S10" i="23"/>
  <c r="R10" i="23"/>
  <c r="K10" i="23"/>
  <c r="L10" i="23" s="1"/>
  <c r="J9" i="23"/>
  <c r="G9" i="23"/>
  <c r="V9" i="23"/>
  <c r="U9" i="23"/>
  <c r="T9" i="23"/>
  <c r="S9" i="23"/>
  <c r="R9" i="23"/>
  <c r="K9" i="23"/>
  <c r="L9" i="23" s="1"/>
  <c r="J8" i="23"/>
  <c r="G8" i="23"/>
  <c r="V8" i="23"/>
  <c r="U8" i="23"/>
  <c r="T8" i="23"/>
  <c r="S8" i="23"/>
  <c r="R8" i="23"/>
  <c r="K8" i="23"/>
  <c r="L8" i="23" s="1"/>
  <c r="J5" i="23"/>
  <c r="G5" i="23"/>
  <c r="V5" i="23"/>
  <c r="U5" i="23"/>
  <c r="T5" i="23"/>
  <c r="S5" i="23"/>
  <c r="R5" i="23"/>
  <c r="K5" i="23"/>
  <c r="L5" i="23" s="1"/>
  <c r="J7" i="23"/>
  <c r="G7" i="23"/>
  <c r="V7" i="23"/>
  <c r="U7" i="23"/>
  <c r="T7" i="23"/>
  <c r="S7" i="23"/>
  <c r="R7" i="23"/>
  <c r="K7" i="23"/>
  <c r="L7" i="23" s="1"/>
  <c r="J6" i="23"/>
  <c r="G6" i="23"/>
  <c r="V6" i="23"/>
  <c r="U6" i="23"/>
  <c r="T6" i="23"/>
  <c r="S6" i="23"/>
  <c r="R6" i="23"/>
  <c r="K6" i="23"/>
  <c r="L6" i="23" s="1"/>
  <c r="AA6" i="18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5" i="18"/>
  <c r="Z6" i="18"/>
  <c r="Z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5" i="18"/>
  <c r="Y20" i="23" l="1"/>
  <c r="N20" i="23" s="1"/>
  <c r="Y6" i="23"/>
  <c r="Y9" i="23"/>
  <c r="N9" i="23" s="1"/>
  <c r="Y14" i="23"/>
  <c r="N14" i="23" s="1"/>
  <c r="N6" i="23"/>
  <c r="Y8" i="23"/>
  <c r="N8" i="23" s="1"/>
  <c r="Y12" i="23"/>
  <c r="N12" i="23" s="1"/>
  <c r="Y19" i="23"/>
  <c r="N19" i="23" s="1"/>
  <c r="Y13" i="23"/>
  <c r="N13" i="23" s="1"/>
  <c r="Y15" i="23"/>
  <c r="N15" i="23" s="1"/>
  <c r="Y17" i="23"/>
  <c r="N17" i="23" s="1"/>
  <c r="Y7" i="23"/>
  <c r="N7" i="23" s="1"/>
  <c r="Y5" i="23"/>
  <c r="N5" i="23" s="1"/>
  <c r="Y10" i="23"/>
  <c r="N10" i="23" s="1"/>
  <c r="Y11" i="23"/>
  <c r="N11" i="23" s="1"/>
  <c r="Y16" i="23"/>
  <c r="N16" i="23" s="1"/>
  <c r="Y18" i="23"/>
  <c r="N18" i="23" s="1"/>
  <c r="R5" i="18"/>
  <c r="K5" i="18"/>
  <c r="AE5" i="18" s="1"/>
  <c r="L5" i="18" s="1"/>
  <c r="W5" i="18" s="1"/>
  <c r="M5" i="18" s="1"/>
  <c r="T4" i="22"/>
  <c r="J4" i="22" s="1"/>
  <c r="T5" i="22"/>
  <c r="J5" i="22" s="1"/>
  <c r="T6" i="22"/>
  <c r="J6" i="22" s="1"/>
  <c r="T7" i="22"/>
  <c r="J7" i="22" s="1"/>
  <c r="T8" i="22"/>
  <c r="J8" i="22" s="1"/>
  <c r="T9" i="22"/>
  <c r="J9" i="22" s="1"/>
  <c r="T10" i="22"/>
  <c r="J10" i="22" s="1"/>
  <c r="T11" i="22"/>
  <c r="J11" i="22" s="1"/>
  <c r="T12" i="22"/>
  <c r="J12" i="22" s="1"/>
  <c r="T13" i="22"/>
  <c r="J13" i="22" s="1"/>
  <c r="T14" i="22"/>
  <c r="J14" i="22" s="1"/>
  <c r="T15" i="22"/>
  <c r="J15" i="22" s="1"/>
  <c r="T16" i="22"/>
  <c r="J16" i="22" s="1"/>
  <c r="T17" i="22"/>
  <c r="J17" i="22" s="1"/>
  <c r="T18" i="22"/>
  <c r="J18" i="22" s="1"/>
  <c r="T3" i="22"/>
  <c r="J3" i="22" s="1"/>
  <c r="V5" i="18"/>
  <c r="U5" i="18"/>
  <c r="T5" i="18"/>
  <c r="S5" i="18"/>
  <c r="U6" i="18"/>
  <c r="K6" i="18"/>
  <c r="K7" i="18"/>
  <c r="AE7" i="18" s="1"/>
  <c r="L7" i="18" s="1"/>
  <c r="W7" i="18" s="1"/>
  <c r="M7" i="18" s="1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J5" i="18" l="1"/>
  <c r="G5" i="18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4" i="19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G5" i="19"/>
  <c r="G7" i="19"/>
  <c r="H7" i="19" s="1"/>
  <c r="G8" i="19"/>
  <c r="G11" i="19"/>
  <c r="G13" i="19"/>
  <c r="G16" i="19"/>
  <c r="H16" i="19" s="1"/>
  <c r="G17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4" i="19"/>
  <c r="G19" i="19"/>
  <c r="E20" i="19"/>
  <c r="L19" i="19"/>
  <c r="H19" i="19"/>
  <c r="H17" i="19"/>
  <c r="H13" i="19"/>
  <c r="H11" i="19"/>
  <c r="H8" i="19"/>
  <c r="H5" i="19"/>
  <c r="V20" i="18"/>
  <c r="U20" i="18"/>
  <c r="T20" i="18"/>
  <c r="S20" i="18"/>
  <c r="R20" i="18"/>
  <c r="G20" i="18" s="1"/>
  <c r="AE20" i="18"/>
  <c r="L20" i="18" s="1"/>
  <c r="W20" i="18" s="1"/>
  <c r="V19" i="18"/>
  <c r="U19" i="18"/>
  <c r="T19" i="18"/>
  <c r="S19" i="18"/>
  <c r="R19" i="18"/>
  <c r="AE19" i="18"/>
  <c r="L19" i="18" s="1"/>
  <c r="W19" i="18" s="1"/>
  <c r="M19" i="18" s="1"/>
  <c r="V17" i="18"/>
  <c r="U17" i="18"/>
  <c r="T17" i="18"/>
  <c r="S17" i="18"/>
  <c r="R17" i="18"/>
  <c r="AE17" i="18"/>
  <c r="L17" i="18" s="1"/>
  <c r="W17" i="18" s="1"/>
  <c r="M17" i="18" s="1"/>
  <c r="V18" i="18"/>
  <c r="U18" i="18"/>
  <c r="T18" i="18"/>
  <c r="S18" i="18"/>
  <c r="R18" i="18"/>
  <c r="AE18" i="18"/>
  <c r="L18" i="18" s="1"/>
  <c r="W18" i="18" s="1"/>
  <c r="M18" i="18" s="1"/>
  <c r="V8" i="18"/>
  <c r="U8" i="18"/>
  <c r="T8" i="18"/>
  <c r="S8" i="18"/>
  <c r="R8" i="18"/>
  <c r="AE8" i="18"/>
  <c r="L8" i="18" s="1"/>
  <c r="W8" i="18" s="1"/>
  <c r="V16" i="18"/>
  <c r="U16" i="18"/>
  <c r="T16" i="18"/>
  <c r="S16" i="18"/>
  <c r="R16" i="18"/>
  <c r="G16" i="18" s="1"/>
  <c r="AE16" i="18"/>
  <c r="L16" i="18" s="1"/>
  <c r="W16" i="18" s="1"/>
  <c r="M16" i="18" s="1"/>
  <c r="V13" i="18"/>
  <c r="U13" i="18"/>
  <c r="T13" i="18"/>
  <c r="S13" i="18"/>
  <c r="R13" i="18"/>
  <c r="AE13" i="18"/>
  <c r="L13" i="18" s="1"/>
  <c r="W13" i="18" s="1"/>
  <c r="W15" i="18"/>
  <c r="M15" i="18" s="1"/>
  <c r="V15" i="18"/>
  <c r="U15" i="18"/>
  <c r="T15" i="18"/>
  <c r="S15" i="18"/>
  <c r="R15" i="18"/>
  <c r="AE15" i="18"/>
  <c r="L15" i="18" s="1"/>
  <c r="W14" i="18"/>
  <c r="M14" i="18" s="1"/>
  <c r="V14" i="18"/>
  <c r="U14" i="18"/>
  <c r="T14" i="18"/>
  <c r="S14" i="18"/>
  <c r="R14" i="18"/>
  <c r="G14" i="18" s="1"/>
  <c r="AE14" i="18"/>
  <c r="L14" i="18" s="1"/>
  <c r="V12" i="18"/>
  <c r="U12" i="18"/>
  <c r="J12" i="18" s="1"/>
  <c r="T12" i="18"/>
  <c r="S12" i="18"/>
  <c r="R12" i="18"/>
  <c r="AE12" i="18"/>
  <c r="L12" i="18" s="1"/>
  <c r="W12" i="18" s="1"/>
  <c r="M12" i="18" s="1"/>
  <c r="V7" i="18"/>
  <c r="U7" i="18"/>
  <c r="T7" i="18"/>
  <c r="S7" i="18"/>
  <c r="R7" i="18"/>
  <c r="V10" i="18"/>
  <c r="U10" i="18"/>
  <c r="T10" i="18"/>
  <c r="S10" i="18"/>
  <c r="R10" i="18"/>
  <c r="AE10" i="18"/>
  <c r="L10" i="18" s="1"/>
  <c r="W10" i="18" s="1"/>
  <c r="M10" i="18" s="1"/>
  <c r="V11" i="18"/>
  <c r="U11" i="18"/>
  <c r="T11" i="18"/>
  <c r="S11" i="18"/>
  <c r="R11" i="18"/>
  <c r="AE11" i="18"/>
  <c r="L11" i="18" s="1"/>
  <c r="W11" i="18" s="1"/>
  <c r="M11" i="18" s="1"/>
  <c r="V6" i="18"/>
  <c r="J6" i="18" s="1"/>
  <c r="T6" i="18"/>
  <c r="S6" i="18"/>
  <c r="R6" i="18"/>
  <c r="G6" i="18" s="1"/>
  <c r="AE6" i="18"/>
  <c r="L6" i="18" s="1"/>
  <c r="W6" i="18" s="1"/>
  <c r="M6" i="18" s="1"/>
  <c r="V9" i="18"/>
  <c r="U9" i="18"/>
  <c r="T9" i="18"/>
  <c r="S9" i="18"/>
  <c r="R9" i="18"/>
  <c r="AE9" i="18"/>
  <c r="L9" i="18" s="1"/>
  <c r="W9" i="18" s="1"/>
  <c r="G21" i="17"/>
  <c r="G21" i="16"/>
  <c r="G21" i="15"/>
  <c r="F21" i="15"/>
  <c r="F21" i="16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5" i="17"/>
  <c r="F21" i="17"/>
  <c r="O21" i="17" s="1"/>
  <c r="L20" i="15"/>
  <c r="I20" i="15"/>
  <c r="L19" i="15"/>
  <c r="I19" i="15"/>
  <c r="J19" i="15" s="1"/>
  <c r="L18" i="15"/>
  <c r="I18" i="15"/>
  <c r="J18" i="15" s="1"/>
  <c r="L17" i="15"/>
  <c r="I17" i="15"/>
  <c r="J17" i="15" s="1"/>
  <c r="L16" i="15"/>
  <c r="I16" i="15"/>
  <c r="J16" i="15"/>
  <c r="I15" i="15"/>
  <c r="J15" i="15" s="1"/>
  <c r="I14" i="15"/>
  <c r="I13" i="15"/>
  <c r="I12" i="15"/>
  <c r="I11" i="15"/>
  <c r="J11" i="15" s="1"/>
  <c r="I10" i="15"/>
  <c r="J10" i="15" s="1"/>
  <c r="I9" i="15"/>
  <c r="J9" i="15" s="1"/>
  <c r="I8" i="15"/>
  <c r="I7" i="15"/>
  <c r="J7" i="15" s="1"/>
  <c r="I6" i="15"/>
  <c r="J6" i="15"/>
  <c r="I5" i="15"/>
  <c r="J5" i="15" s="1"/>
  <c r="L21" i="11"/>
  <c r="G21" i="11"/>
  <c r="L20" i="11"/>
  <c r="G20" i="11"/>
  <c r="L19" i="11"/>
  <c r="G19" i="11"/>
  <c r="L18" i="11"/>
  <c r="G18" i="11"/>
  <c r="L17" i="11"/>
  <c r="G17" i="11"/>
  <c r="L16" i="11"/>
  <c r="G16" i="11"/>
  <c r="L15" i="11"/>
  <c r="G15" i="11"/>
  <c r="L14" i="11"/>
  <c r="G14" i="11"/>
  <c r="L13" i="11"/>
  <c r="G13" i="11"/>
  <c r="L12" i="11"/>
  <c r="G12" i="11"/>
  <c r="L11" i="11"/>
  <c r="G11" i="11"/>
  <c r="L10" i="11"/>
  <c r="G10" i="11"/>
  <c r="L9" i="11"/>
  <c r="G9" i="11"/>
  <c r="L8" i="11"/>
  <c r="G8" i="11"/>
  <c r="L7" i="11"/>
  <c r="G7" i="11"/>
  <c r="L6" i="11"/>
  <c r="G6" i="11"/>
  <c r="L19" i="9"/>
  <c r="G19" i="9"/>
  <c r="H19" i="9" s="1"/>
  <c r="L18" i="9"/>
  <c r="G18" i="9"/>
  <c r="H18" i="9"/>
  <c r="L17" i="9"/>
  <c r="G17" i="9"/>
  <c r="H17" i="9"/>
  <c r="L16" i="9"/>
  <c r="G16" i="9"/>
  <c r="H16" i="9" s="1"/>
  <c r="L15" i="9"/>
  <c r="G15" i="9"/>
  <c r="H15" i="9" s="1"/>
  <c r="L14" i="9"/>
  <c r="G14" i="9"/>
  <c r="H14" i="9"/>
  <c r="L13" i="9"/>
  <c r="G13" i="9"/>
  <c r="H13" i="9"/>
  <c r="L12" i="9"/>
  <c r="G12" i="9"/>
  <c r="H12" i="9" s="1"/>
  <c r="L11" i="9"/>
  <c r="G11" i="9"/>
  <c r="H11" i="9" s="1"/>
  <c r="L10" i="9"/>
  <c r="G10" i="9"/>
  <c r="H10" i="9"/>
  <c r="L9" i="9"/>
  <c r="G9" i="9"/>
  <c r="H9" i="9"/>
  <c r="L8" i="9"/>
  <c r="G8" i="9"/>
  <c r="H8" i="9" s="1"/>
  <c r="L7" i="9"/>
  <c r="G7" i="9"/>
  <c r="H7" i="9" s="1"/>
  <c r="L6" i="9"/>
  <c r="G6" i="9"/>
  <c r="H6" i="9"/>
  <c r="L5" i="9"/>
  <c r="G5" i="9"/>
  <c r="H5" i="9"/>
  <c r="L4" i="9"/>
  <c r="G4" i="9"/>
  <c r="H4" i="9" s="1"/>
  <c r="L19" i="8"/>
  <c r="G19" i="8"/>
  <c r="H19" i="8" s="1"/>
  <c r="L18" i="8"/>
  <c r="G18" i="8"/>
  <c r="H18" i="8"/>
  <c r="L17" i="8"/>
  <c r="G17" i="8"/>
  <c r="L16" i="8"/>
  <c r="G16" i="8"/>
  <c r="L15" i="8"/>
  <c r="G15" i="8"/>
  <c r="H15" i="8" s="1"/>
  <c r="L14" i="8"/>
  <c r="G14" i="8"/>
  <c r="H14" i="8" s="1"/>
  <c r="L13" i="8"/>
  <c r="G13" i="8"/>
  <c r="L12" i="8"/>
  <c r="G12" i="8"/>
  <c r="L11" i="8"/>
  <c r="G11" i="8"/>
  <c r="L10" i="8"/>
  <c r="G10" i="8"/>
  <c r="H10" i="8" s="1"/>
  <c r="L9" i="8"/>
  <c r="G9" i="8"/>
  <c r="H9" i="8" s="1"/>
  <c r="L8" i="8"/>
  <c r="G8" i="8"/>
  <c r="L7" i="8"/>
  <c r="G7" i="8"/>
  <c r="L6" i="8"/>
  <c r="G6" i="8"/>
  <c r="L5" i="8"/>
  <c r="G5" i="8"/>
  <c r="L4" i="8"/>
  <c r="G4" i="8"/>
  <c r="H4" i="8" s="1"/>
  <c r="L19" i="7"/>
  <c r="G19" i="7"/>
  <c r="H19" i="7"/>
  <c r="L18" i="7"/>
  <c r="G18" i="7"/>
  <c r="H18" i="7"/>
  <c r="L17" i="7"/>
  <c r="G17" i="7"/>
  <c r="H17" i="7" s="1"/>
  <c r="L16" i="7"/>
  <c r="L15" i="7"/>
  <c r="L14" i="7"/>
  <c r="L13" i="7"/>
  <c r="G13" i="7"/>
  <c r="H13" i="7"/>
  <c r="L12" i="7"/>
  <c r="G12" i="7"/>
  <c r="H12" i="7"/>
  <c r="L11" i="7"/>
  <c r="G11" i="7"/>
  <c r="H11" i="7" s="1"/>
  <c r="L10" i="7"/>
  <c r="L9" i="7"/>
  <c r="G9" i="7"/>
  <c r="H9" i="7" s="1"/>
  <c r="L8" i="7"/>
  <c r="H8" i="7"/>
  <c r="G8" i="7"/>
  <c r="L7" i="7"/>
  <c r="G7" i="7"/>
  <c r="H7" i="7"/>
  <c r="L6" i="7"/>
  <c r="G6" i="7"/>
  <c r="H6" i="7"/>
  <c r="L5" i="7"/>
  <c r="L4" i="7"/>
  <c r="G4" i="7"/>
  <c r="H4" i="7"/>
  <c r="L19" i="6"/>
  <c r="G19" i="6"/>
  <c r="H19" i="6" s="1"/>
  <c r="L18" i="6"/>
  <c r="G18" i="6"/>
  <c r="H18" i="6" s="1"/>
  <c r="L17" i="6"/>
  <c r="G17" i="6"/>
  <c r="L16" i="6"/>
  <c r="G16" i="6"/>
  <c r="L15" i="6"/>
  <c r="G15" i="6"/>
  <c r="H15" i="6"/>
  <c r="L14" i="6"/>
  <c r="G14" i="6"/>
  <c r="H14" i="6" s="1"/>
  <c r="L13" i="6"/>
  <c r="G13" i="6"/>
  <c r="L12" i="6"/>
  <c r="G12" i="6"/>
  <c r="L11" i="6"/>
  <c r="G11" i="6"/>
  <c r="L10" i="6"/>
  <c r="G10" i="6"/>
  <c r="H10" i="6"/>
  <c r="L9" i="6"/>
  <c r="G9" i="6"/>
  <c r="H9" i="6" s="1"/>
  <c r="L8" i="6"/>
  <c r="G8" i="6"/>
  <c r="L7" i="6"/>
  <c r="G7" i="6"/>
  <c r="L6" i="6"/>
  <c r="G6" i="6"/>
  <c r="L5" i="6"/>
  <c r="G5" i="6"/>
  <c r="L4" i="6"/>
  <c r="G4" i="6"/>
  <c r="E20" i="5"/>
  <c r="L19" i="5"/>
  <c r="G19" i="5"/>
  <c r="H19" i="5" s="1"/>
  <c r="L18" i="5"/>
  <c r="G18" i="5"/>
  <c r="H18" i="5"/>
  <c r="L17" i="5"/>
  <c r="G17" i="5"/>
  <c r="L16" i="5"/>
  <c r="G16" i="5"/>
  <c r="H16" i="5" s="1"/>
  <c r="L15" i="5"/>
  <c r="G15" i="5"/>
  <c r="H15" i="5"/>
  <c r="L14" i="5"/>
  <c r="G14" i="5"/>
  <c r="H14" i="5" s="1"/>
  <c r="L13" i="5"/>
  <c r="G13" i="5"/>
  <c r="H13" i="5" s="1"/>
  <c r="L12" i="5"/>
  <c r="G12" i="5"/>
  <c r="H12" i="5" s="1"/>
  <c r="L11" i="5"/>
  <c r="G11" i="5"/>
  <c r="H11" i="5"/>
  <c r="L10" i="5"/>
  <c r="G10" i="5"/>
  <c r="H10" i="5"/>
  <c r="L9" i="5"/>
  <c r="G9" i="5"/>
  <c r="H9" i="5" s="1"/>
  <c r="L8" i="5"/>
  <c r="G8" i="5"/>
  <c r="L7" i="5"/>
  <c r="G7" i="5"/>
  <c r="L6" i="5"/>
  <c r="G6" i="5"/>
  <c r="H6" i="5" s="1"/>
  <c r="L5" i="5"/>
  <c r="G5" i="5"/>
  <c r="L4" i="5"/>
  <c r="Q7" i="5"/>
  <c r="G4" i="5"/>
  <c r="H4" i="5"/>
  <c r="Q8" i="5"/>
  <c r="E20" i="4"/>
  <c r="L19" i="4"/>
  <c r="G19" i="4"/>
  <c r="H19" i="4"/>
  <c r="L18" i="4"/>
  <c r="G18" i="4"/>
  <c r="H18" i="4" s="1"/>
  <c r="L17" i="4"/>
  <c r="G17" i="4"/>
  <c r="H17" i="4" s="1"/>
  <c r="L16" i="4"/>
  <c r="G16" i="4"/>
  <c r="H16" i="4"/>
  <c r="L15" i="4"/>
  <c r="G15" i="4"/>
  <c r="H15" i="4"/>
  <c r="L14" i="4"/>
  <c r="G14" i="4"/>
  <c r="H14" i="4" s="1"/>
  <c r="L13" i="4"/>
  <c r="G13" i="4"/>
  <c r="H13" i="4" s="1"/>
  <c r="L12" i="4"/>
  <c r="G12" i="4"/>
  <c r="H12" i="4"/>
  <c r="L11" i="4"/>
  <c r="G11" i="4"/>
  <c r="H11" i="4"/>
  <c r="L10" i="4"/>
  <c r="G10" i="4"/>
  <c r="H10" i="4" s="1"/>
  <c r="L9" i="4"/>
  <c r="G9" i="4"/>
  <c r="H9" i="4" s="1"/>
  <c r="L8" i="4"/>
  <c r="G8" i="4"/>
  <c r="H8" i="4"/>
  <c r="L7" i="4"/>
  <c r="G7" i="4"/>
  <c r="H7" i="4"/>
  <c r="L6" i="4"/>
  <c r="G6" i="4"/>
  <c r="H6" i="4" s="1"/>
  <c r="L5" i="4"/>
  <c r="G5" i="4"/>
  <c r="H5" i="4" s="1"/>
  <c r="L4" i="4"/>
  <c r="G4" i="4"/>
  <c r="H4" i="4"/>
  <c r="M4" i="1"/>
  <c r="L19" i="3"/>
  <c r="G19" i="3"/>
  <c r="H19" i="3" s="1"/>
  <c r="L18" i="3"/>
  <c r="G18" i="3"/>
  <c r="H18" i="3"/>
  <c r="L17" i="3"/>
  <c r="G17" i="3"/>
  <c r="H17" i="3"/>
  <c r="L16" i="3"/>
  <c r="G16" i="3"/>
  <c r="H16" i="3" s="1"/>
  <c r="L15" i="3"/>
  <c r="G15" i="3"/>
  <c r="L14" i="3"/>
  <c r="G14" i="3"/>
  <c r="H14" i="3"/>
  <c r="L13" i="3"/>
  <c r="G13" i="3"/>
  <c r="L12" i="3"/>
  <c r="G12" i="3"/>
  <c r="H12" i="3"/>
  <c r="L11" i="3"/>
  <c r="G11" i="3"/>
  <c r="H11" i="3"/>
  <c r="L10" i="3"/>
  <c r="G10" i="3"/>
  <c r="H10" i="3" s="1"/>
  <c r="L9" i="3"/>
  <c r="G9" i="3"/>
  <c r="H9" i="3"/>
  <c r="L8" i="3"/>
  <c r="G8" i="3"/>
  <c r="L7" i="3"/>
  <c r="G7" i="3"/>
  <c r="L6" i="3"/>
  <c r="G6" i="3"/>
  <c r="L5" i="3"/>
  <c r="G5" i="3"/>
  <c r="L4" i="3"/>
  <c r="G4" i="3"/>
  <c r="H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4" i="2"/>
  <c r="G5" i="2"/>
  <c r="H5" i="2" s="1"/>
  <c r="G6" i="2"/>
  <c r="H6" i="2"/>
  <c r="G7" i="2"/>
  <c r="H7" i="2" s="1"/>
  <c r="G8" i="2"/>
  <c r="H8" i="2"/>
  <c r="G9" i="2"/>
  <c r="H9" i="2" s="1"/>
  <c r="G10" i="2"/>
  <c r="H10" i="2"/>
  <c r="G11" i="2"/>
  <c r="H11" i="2" s="1"/>
  <c r="G12" i="2"/>
  <c r="H12" i="2"/>
  <c r="G13" i="2"/>
  <c r="H13" i="2" s="1"/>
  <c r="G14" i="2"/>
  <c r="H14" i="2"/>
  <c r="G15" i="2"/>
  <c r="H15" i="2" s="1"/>
  <c r="G16" i="2"/>
  <c r="H16" i="2"/>
  <c r="G17" i="2"/>
  <c r="H17" i="2" s="1"/>
  <c r="G18" i="2"/>
  <c r="H18" i="2"/>
  <c r="G19" i="2"/>
  <c r="H19" i="2" s="1"/>
  <c r="G4" i="2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4" i="1"/>
  <c r="H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4" i="1"/>
  <c r="Q5" i="5"/>
  <c r="Q4" i="5"/>
  <c r="Q12" i="5" s="1"/>
  <c r="Q9" i="5"/>
  <c r="Q10" i="5"/>
  <c r="Q6" i="5"/>
  <c r="Q11" i="5"/>
  <c r="G12" i="18" l="1"/>
  <c r="G8" i="18"/>
  <c r="G19" i="18"/>
  <c r="G10" i="18"/>
  <c r="M20" i="18"/>
  <c r="Y20" i="18"/>
  <c r="N20" i="18" s="1"/>
  <c r="M13" i="18"/>
  <c r="Y13" i="18"/>
  <c r="N13" i="18" s="1"/>
  <c r="Y17" i="18"/>
  <c r="N17" i="18" s="1"/>
  <c r="G9" i="18"/>
  <c r="G11" i="18"/>
  <c r="Y10" i="18"/>
  <c r="N10" i="18" s="1"/>
  <c r="Y12" i="18"/>
  <c r="N12" i="18" s="1"/>
  <c r="G13" i="18"/>
  <c r="G17" i="18"/>
  <c r="G7" i="18"/>
  <c r="G15" i="18"/>
  <c r="G18" i="18"/>
  <c r="J8" i="18"/>
  <c r="J16" i="18"/>
  <c r="Y16" i="18"/>
  <c r="N16" i="18" s="1"/>
  <c r="J9" i="18"/>
  <c r="J7" i="18"/>
  <c r="Y7" i="18"/>
  <c r="N7" i="18" s="1"/>
  <c r="J20" i="18"/>
  <c r="J13" i="18"/>
  <c r="J10" i="18"/>
  <c r="J15" i="18"/>
  <c r="Y15" i="18"/>
  <c r="N15" i="18" s="1"/>
  <c r="Y6" i="18"/>
  <c r="N6" i="18" s="1"/>
  <c r="J19" i="18"/>
  <c r="J17" i="18"/>
  <c r="J11" i="18"/>
  <c r="Y11" i="18"/>
  <c r="N11" i="18" s="1"/>
  <c r="J14" i="18"/>
  <c r="J18" i="18"/>
  <c r="Y18" i="18"/>
  <c r="N18" i="18" s="1"/>
  <c r="Y14" i="18"/>
  <c r="N14" i="18" s="1"/>
  <c r="Y9" i="18"/>
  <c r="N9" i="18" s="1"/>
  <c r="Y8" i="18"/>
  <c r="N8" i="18" s="1"/>
  <c r="Y19" i="18"/>
  <c r="N19" i="18" s="1"/>
  <c r="Y5" i="18" l="1"/>
</calcChain>
</file>

<file path=xl/comments1.xml><?xml version="1.0" encoding="utf-8"?>
<comments xmlns="http://schemas.openxmlformats.org/spreadsheetml/2006/main">
  <authors>
    <author>SSJ</author>
  </authors>
  <commentList>
    <comment ref="G20" authorId="0">
      <text>
        <r>
          <rPr>
            <b/>
            <sz val="20"/>
            <color indexed="81"/>
            <rFont val="Tahoma"/>
            <family val="2"/>
          </rPr>
          <t>SSJ:</t>
        </r>
        <r>
          <rPr>
            <sz val="20"/>
            <color indexed="81"/>
            <rFont val="Tahoma"/>
            <family val="2"/>
          </rPr>
          <t xml:space="preserve">
น้าหยามฝากแก้สูตรหน่อยคร้า</t>
        </r>
      </text>
    </comment>
  </commentList>
</comments>
</file>

<file path=xl/comments2.xml><?xml version="1.0" encoding="utf-8"?>
<comments xmlns="http://schemas.openxmlformats.org/spreadsheetml/2006/main">
  <authors>
    <author>SSJ</author>
  </authors>
  <commentList>
    <comment ref="G20" authorId="0">
      <text>
        <r>
          <rPr>
            <b/>
            <sz val="20"/>
            <color indexed="81"/>
            <rFont val="Tahoma"/>
            <family val="2"/>
          </rPr>
          <t>SSJ:</t>
        </r>
        <r>
          <rPr>
            <sz val="20"/>
            <color indexed="81"/>
            <rFont val="Tahoma"/>
            <family val="2"/>
          </rPr>
          <t xml:space="preserve">
น้าหยามฝากแก้สูตรหน่อยคร้า</t>
        </r>
      </text>
    </comment>
  </commentList>
</comments>
</file>

<file path=xl/sharedStrings.xml><?xml version="1.0" encoding="utf-8"?>
<sst xmlns="http://schemas.openxmlformats.org/spreadsheetml/2006/main" count="1780" uniqueCount="280">
  <si>
    <t>ให้ออกค่าเฉพาะ รพ ที่ขาดทุน (NI ติดลบ)</t>
  </si>
  <si>
    <t>Org</t>
  </si>
  <si>
    <t>CR
มากกว่า(1.50)</t>
  </si>
  <si>
    <t>QR
มากกว่า(1.00)</t>
  </si>
  <si>
    <t>Cash
มากกว่า(0.80)</t>
  </si>
  <si>
    <t>NWC
 (-)</t>
  </si>
  <si>
    <t>NI+ Depreciation  
(-)</t>
  </si>
  <si>
    <t>ANI = Average Net Income</t>
  </si>
  <si>
    <t>NWC/ANI</t>
  </si>
  <si>
    <t>Liquid Index (ดัชนีวัดสภาพคล่องทางการเงิน)</t>
  </si>
  <si>
    <t>Status Index (ดัชนีวัดสถานะ)</t>
  </si>
  <si>
    <t>Survive Index (ดัชนีวัดความอยู่รอด)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</si>
  <si>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</si>
  <si>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</si>
  <si>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</si>
  <si>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</si>
  <si>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</si>
  <si>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</si>
  <si>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</si>
  <si>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</si>
  <si>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</si>
  <si>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</si>
  <si>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</si>
  <si>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</si>
  <si>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</si>
  <si>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</si>
  <si>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</si>
  <si>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</si>
  <si>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</si>
  <si>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</si>
  <si>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</si>
  <si>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</si>
  <si>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</si>
  <si>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</si>
  <si>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</si>
  <si>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</si>
  <si>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indexed="56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</si>
  <si>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</si>
  <si>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</si>
  <si>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</si>
  <si>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</si>
  <si>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</si>
  <si>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indexed="56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</si>
  <si>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</si>
  <si>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indexed="56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</si>
  <si>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</si>
  <si>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</si>
  <si>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</si>
  <si>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</si>
  <si>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Angsana New"/>
        <family val="1"/>
      </rPr>
      <t>ประเมิณโดย</t>
    </r>
    <r>
      <rPr>
        <b/>
        <sz val="18"/>
        <color indexed="8"/>
        <rFont val="Angsana New"/>
        <family val="1"/>
      </rPr>
      <t xml:space="preserve">  </t>
    </r>
    <r>
      <rPr>
        <sz val="18"/>
        <color indexed="8"/>
        <rFont val="Angsana New"/>
        <family val="1"/>
      </rPr>
      <t>1. ถ้า Status Index = 0       Suvive Index จะ = 0  (</t>
    </r>
    <r>
      <rPr>
        <sz val="18"/>
        <color indexed="3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</si>
  <si>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</si>
  <si>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</si>
  <si>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</si>
  <si>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</si>
  <si>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Angsana New"/>
        <family val="1"/>
      </rPr>
      <t>(7 คะแนน = วิกฤติมากสุด)</t>
    </r>
    <r>
      <rPr>
        <b/>
        <sz val="18"/>
        <color indexed="30"/>
        <rFont val="Angsana New"/>
        <family val="1"/>
      </rPr>
      <t>(0 คะแนน = ภาวะปกติ)</t>
    </r>
  </si>
  <si>
    <t>ข้อมูล ณ 25/8/2558  เวลา 9.00 น.</t>
  </si>
  <si>
    <t>ผลการประเมินภาวะวิกฤติ พฤศจิกายน ปีงบประมาณ 2559</t>
  </si>
  <si>
    <t>ผลการประเมินภาวะวิกฤติ ตุลาคม ปีงบประมาณ 2559</t>
  </si>
  <si>
    <t>Risk Scoring เดือน พ.ย.</t>
  </si>
  <si>
    <t>Risk Scoring เดือน ตค</t>
  </si>
  <si>
    <t>ผลการประเมินภาวะวิกฤติ ธันวาคม ปีงบประมาณ 2559</t>
  </si>
  <si>
    <t>Risk Scoring เดืน ธค</t>
  </si>
  <si>
    <t>Risk Scoring เดือน พย</t>
  </si>
  <si>
    <t>ข้อมูล ณ 25/1/2559  เวลา 10.00 น. (รอบที่1)</t>
  </si>
  <si>
    <t xml:space="preserve">              26/1/2559 เวลา 12.00น. (รอบที่ 2)</t>
  </si>
  <si>
    <t>ผลการประเมินภาวะวิกฤติ มกราคม ปีงบประมาณ 2559</t>
  </si>
  <si>
    <t>Risk Scoring เดือน มค 59</t>
  </si>
  <si>
    <t>Risk Scoring เดือน ธค58</t>
  </si>
  <si>
    <t>ข้อมูล ณ 26/2/2559 10.00 น.</t>
  </si>
  <si>
    <t xml:space="preserve">         </t>
  </si>
  <si>
    <t xml:space="preserve">เงินสดและลูกหนี้            </t>
  </si>
  <si>
    <t>หนี้สินที่ชำระด้วยเงินสด               "</t>
  </si>
  <si>
    <t xml:space="preserve">สินทรัพย์หมุนเวียน          </t>
  </si>
  <si>
    <r>
      <t xml:space="preserve">NI = Net Income = กำไรสุทธิ = รายได้ - ค่าใช้จ่าย (มาจากดาวน์โหลด ข้อ 306) </t>
    </r>
    <r>
      <rPr>
        <sz val="16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</si>
  <si>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6"/>
        <color indexed="8"/>
        <rFont val="TH SarabunPSK"/>
        <family val="2"/>
      </rPr>
      <t>ประเมิณโดย</t>
    </r>
    <r>
      <rPr>
        <sz val="16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</si>
  <si>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6"/>
        <color indexed="8"/>
        <rFont val="TH SarabunPSK"/>
        <family val="2"/>
      </rPr>
      <t>ประเมิณโดย</t>
    </r>
    <r>
      <rPr>
        <sz val="16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</si>
  <si>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6"/>
        <color indexed="8"/>
        <rFont val="TH SarabunPSK"/>
        <family val="2"/>
      </rPr>
      <t>ประเมิณโดย</t>
    </r>
    <r>
      <rPr>
        <sz val="16"/>
        <color indexed="8"/>
        <rFont val="TH SarabunPSK"/>
        <family val="2"/>
      </rPr>
      <t xml:space="preserve">  1. ถ้า Status Index = 0       Suvive Index จะ = 0  (</t>
    </r>
    <r>
      <rPr>
        <sz val="16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</si>
  <si>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sz val="16"/>
        <color indexed="10"/>
        <rFont val="TH SarabunPSK"/>
        <family val="2"/>
      </rPr>
      <t>(7 คะแนน = วิกฤติมากสุด)</t>
    </r>
    <r>
      <rPr>
        <sz val="16"/>
        <color indexed="30"/>
        <rFont val="TH SarabunPSK"/>
        <family val="2"/>
      </rPr>
      <t>(0 คะแนน = ภาวะปกติ)</t>
    </r>
  </si>
  <si>
    <t>ผลการประเมินภาวะวิกฤติ กุมภาพันธ์ ปีงบประมาณ 2559</t>
  </si>
  <si>
    <t>Risk Scoring เดือน กพ 59</t>
  </si>
  <si>
    <t>Risk Scoring เดือน กพ 60</t>
  </si>
  <si>
    <t>ระดับคะแนนวิกฤต</t>
  </si>
  <si>
    <t>จำนวน (แห่ง)</t>
  </si>
  <si>
    <t>NI = Net Income = กำไรสุทธิ = รายได้ - ค่าใช้จ่าย (มาจากดาวน์โหลด ข้อ 306) มาจากงบแสดงผลการดำเนินงาน (งบกำไรขาดทุน ตั้งแต่ต้นงวดถึงเดือนปัจจุบัน)</t>
  </si>
  <si>
    <t>Risk Score = คะแนนประเมิณภาวะวิกฤติ คือ ผลรวมของ Liquid Index + Status Index + Survive Index (7 คะแนน = วิกฤติมากสุด)(0 คะแนน = ภาวะปกติ)</t>
  </si>
  <si>
    <t>ข้อมูล ณ 28/3/2559 9.00 น.</t>
  </si>
  <si>
    <r>
      <t xml:space="preserve">เงินสดและลูกหนี้           </t>
    </r>
    <r>
      <rPr>
        <b/>
        <sz val="16"/>
        <rFont val="Angsana New"/>
        <family val="1"/>
      </rPr>
      <t xml:space="preserve"> </t>
    </r>
  </si>
  <si>
    <r>
      <t xml:space="preserve">หนี้สินที่ชำระด้วยเงินสด               </t>
    </r>
    <r>
      <rPr>
        <b/>
        <sz val="16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</si>
  <si>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6"/>
        <rFont val="Angsana New"/>
        <family val="1"/>
      </rPr>
      <t xml:space="preserve">  </t>
    </r>
  </si>
  <si>
    <r>
      <t xml:space="preserve">Liquid Index = ดัชนีวัดสภาพคล่องทางการเงิน  </t>
    </r>
    <r>
      <rPr>
        <u/>
        <sz val="16"/>
        <rFont val="Angsana New"/>
        <family val="1"/>
      </rPr>
      <t>ประเมิณโดย</t>
    </r>
    <r>
      <rPr>
        <sz val="16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</si>
  <si>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6"/>
        <rFont val="Angsana New"/>
        <family val="1"/>
      </rPr>
      <t>ประเมิณโดย</t>
    </r>
    <r>
      <rPr>
        <sz val="16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</si>
  <si>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6"/>
        <rFont val="Angsana New"/>
        <family val="1"/>
      </rPr>
      <t>ประเมิณโดย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1. ถ้า Status Index = 0       Suvive Index จะ = 0  (ถ้า กำไรสุทธิ เป็นบวก ไม่ต้องหาค่าเฉลี่ย คะแนน = 0)</t>
    </r>
  </si>
  <si>
    <t xml:space="preserve">ผลการประเมินภาวะวิกฤติ สิงหาคม ปีงบประมาณ 2558 </t>
  </si>
  <si>
    <t>Risk Scoring เดือน ส.ค.58</t>
  </si>
  <si>
    <r>
      <t xml:space="preserve">NI = Net Income = กำไรสุทธิ = รายได้ - ค่าใช้จ่าย (มาจากดาวน์โหลด ข้อ 306) </t>
    </r>
    <r>
      <rPr>
        <sz val="18"/>
        <color indexed="3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</si>
  <si>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</si>
  <si>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</si>
  <si>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 1. ถ้า Status Index = 0       Suvive Index จะ = 0  (</t>
    </r>
    <r>
      <rPr>
        <sz val="18"/>
        <color indexed="30"/>
        <rFont val="Angsana New"/>
        <family val="1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</si>
  <si>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sz val="18"/>
        <color indexed="10"/>
        <rFont val="Angsana New"/>
        <family val="1"/>
      </rPr>
      <t>(7 คะแนน = วิกฤติมากสุด)</t>
    </r>
    <r>
      <rPr>
        <sz val="18"/>
        <color indexed="30"/>
        <rFont val="Angsana New"/>
        <family val="1"/>
      </rPr>
      <t>(0 คะแนน = ภาวะปกติ)</t>
    </r>
  </si>
  <si>
    <t xml:space="preserve">ผลการประเมินภาวะวิกฤติ กันยายน 2558 </t>
  </si>
  <si>
    <t>Risk Scoring เดือน ก.ย.58</t>
  </si>
  <si>
    <t xml:space="preserve">ผลการประเมินภาวะวิกฤติ มิถุนายน ปีงบประมาณ 2558 </t>
  </si>
  <si>
    <t>Liquid Index</t>
  </si>
  <si>
    <t xml:space="preserve">Status Index </t>
  </si>
  <si>
    <t>Survive Index</t>
  </si>
  <si>
    <t>Risk Scoring เดือน มิ.ย.58</t>
  </si>
  <si>
    <t>Risk Scoring เดือน พค. 58</t>
  </si>
  <si>
    <t>Risk Scoring เดือน เม.ย. 58</t>
  </si>
  <si>
    <r>
      <t xml:space="preserve">เงินสดและลูกหนี้           </t>
    </r>
    <r>
      <rPr>
        <b/>
        <sz val="18"/>
        <color indexed="56"/>
        <rFont val="Angsana New"/>
        <family val="1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</si>
  <si>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</si>
  <si>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8"/>
        <color indexed="56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</si>
  <si>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</si>
  <si>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</si>
  <si>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</si>
  <si>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Angsana New"/>
        <family val="1"/>
      </rPr>
      <t>ประเมิณโดย</t>
    </r>
    <r>
      <rPr>
        <b/>
        <sz val="18"/>
        <color indexed="8"/>
        <rFont val="Angsana New"/>
        <family val="1"/>
      </rPr>
      <t xml:space="preserve">  </t>
    </r>
    <r>
      <rPr>
        <sz val="18"/>
        <color indexed="8"/>
        <rFont val="Angsana New"/>
        <family val="1"/>
      </rPr>
      <t>1. ถ้า Status Index = 0       Suvive Index จะ = 0  (</t>
    </r>
    <r>
      <rPr>
        <sz val="18"/>
        <color indexed="30"/>
        <rFont val="Angsana New"/>
        <family val="1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</si>
  <si>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Angsana New"/>
        <family val="1"/>
      </rPr>
      <t>(7 คะแนน = วิกฤติมากสุด)</t>
    </r>
    <r>
      <rPr>
        <b/>
        <sz val="18"/>
        <color indexed="30"/>
        <rFont val="Angsana New"/>
        <family val="1"/>
      </rPr>
      <t>(0 คะแนน = ภาวะปกติ)</t>
    </r>
  </si>
  <si>
    <t>ข้อมูล ณ 26/6/2558  เวลา 10.30 น.</t>
  </si>
  <si>
    <t xml:space="preserve">ผลการประเมินภาวะวิกฤติ กรกฎาคม ปีงบประมาณ 2558 </t>
  </si>
  <si>
    <t>Risk Scoring เดือน ก.ค.58</t>
  </si>
  <si>
    <t>CR</t>
  </si>
  <si>
    <t>QR</t>
  </si>
  <si>
    <t>Cash</t>
  </si>
  <si>
    <t xml:space="preserve"> NWC</t>
  </si>
  <si>
    <t xml:space="preserve"> (-) </t>
  </si>
  <si>
    <t xml:space="preserve">NI+ Depreciation  </t>
  </si>
  <si>
    <t>(-)</t>
  </si>
  <si>
    <t xml:space="preserve"> ANI = Average Net Income </t>
  </si>
  <si>
    <t>Risk Scoring</t>
  </si>
  <si>
    <r>
      <t xml:space="preserve">Risk Scoring </t>
    </r>
    <r>
      <rPr>
        <b/>
        <sz val="6"/>
        <color indexed="8"/>
        <rFont val="Angsana New"/>
        <family val="1"/>
      </rPr>
      <t>เดือน กพ58</t>
    </r>
  </si>
  <si>
    <t xml:space="preserve">ผลการประเมินภาวะวิกฤติ เดือนธันวาคม ปีงบประมาณ 2558 </t>
  </si>
  <si>
    <t>CR
(1.50)</t>
  </si>
  <si>
    <t>QR
(1.00)</t>
  </si>
  <si>
    <t>Cash
(0.80)</t>
  </si>
  <si>
    <t>หน่วยบริการ</t>
  </si>
  <si>
    <t xml:space="preserve"> Risk Scoring</t>
  </si>
  <si>
    <t>รพ.สระบุรี</t>
  </si>
  <si>
    <t>รพ.พระพุทธบาท</t>
  </si>
  <si>
    <t>รพ.แก่งคอย</t>
  </si>
  <si>
    <t>รพ.หนองแค</t>
  </si>
  <si>
    <t>รพ.วิหารแดง</t>
  </si>
  <si>
    <t>รพ.หนองแซง</t>
  </si>
  <si>
    <t>รพ.บ้านหมอ</t>
  </si>
  <si>
    <t>รพ.ดอนพุด</t>
  </si>
  <si>
    <t>รพ.หนองโดน</t>
  </si>
  <si>
    <t>รพ.เสาไห้</t>
  </si>
  <si>
    <t>รพ.มวกเหล็ก</t>
  </si>
  <si>
    <t>รพ.วังม่วงสัทธรรม</t>
  </si>
  <si>
    <t>ธค.57</t>
  </si>
  <si>
    <t>Risk Score</t>
  </si>
  <si>
    <t>มีค.58</t>
  </si>
  <si>
    <t>มี.ย.58</t>
  </si>
  <si>
    <t xml:space="preserve">ไตรมาส 1 </t>
  </si>
  <si>
    <t>ไตรมาส 2</t>
  </si>
  <si>
    <t xml:space="preserve">ไตรมาส 3 </t>
  </si>
  <si>
    <t>ไตรมาส 4</t>
  </si>
  <si>
    <t>ปีงบประมาณ 2558</t>
  </si>
  <si>
    <t>ปีงบประมาณ 2559</t>
  </si>
  <si>
    <r>
      <t xml:space="preserve">Liquid Index = ดัชนีวัดสภาพคล่องทางการเงิน  </t>
    </r>
    <r>
      <rPr>
        <b/>
        <u/>
        <sz val="16"/>
        <rFont val="TH SarabunPSK"/>
        <family val="2"/>
      </rPr>
      <t>ประเมิณโดย</t>
    </r>
    <r>
      <rPr>
        <b/>
        <sz val="16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</si>
  <si>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b/>
        <u/>
        <sz val="16"/>
        <rFont val="TH SarabunPSK"/>
        <family val="2"/>
      </rPr>
      <t>ประเมิณโดย</t>
    </r>
    <r>
      <rPr>
        <b/>
        <sz val="16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</si>
  <si>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b/>
        <u/>
        <sz val="16"/>
        <rFont val="TH SarabunPSK"/>
        <family val="2"/>
      </rPr>
      <t>ประเมิณโดย</t>
    </r>
    <r>
      <rPr>
        <b/>
        <sz val="16"/>
        <rFont val="TH SarabunPSK"/>
        <family val="2"/>
      </rPr>
      <t xml:space="preserve">  1. ถ้า Status Index = 0       Suvive Index จะ = 0  (ถ้า กำไรสุทธิ เป็นบวก ไม่ต้องหาค่าเฉลี่ย คะแนน = 0)</t>
    </r>
  </si>
  <si>
    <t>ผลการประเมินภาวะวิกฤติ มีนาคม ปีงบประมาณ 2559</t>
  </si>
  <si>
    <t>ประเภทความเสี่ยง Liquid Index (ดัชนีวัดสภาพคล่องทางการเงิน)</t>
  </si>
  <si>
    <t>ประเภทความเสี่ยง status Index  (ดัชนีวัดสถานะทางการเงิน)</t>
  </si>
  <si>
    <t>ประเภทความเสี่ยง Survive Index  (ดัชนีวัดความอยู่รอด)</t>
  </si>
  <si>
    <t>Risk Scoring มี.ค.59</t>
  </si>
  <si>
    <t>Risk Scoring เดือน ก.พ. 59</t>
  </si>
  <si>
    <t>น้ำหนักคะแนน</t>
  </si>
  <si>
    <t>NWC
ทุนสำรอง (-)</t>
  </si>
  <si>
    <t>NI กำไร(ขาดทุน) รวมค่าเสื่อม
(-)</t>
  </si>
  <si>
    <t xml:space="preserve">ANI กำไร(ขาดทุน) หาร จำนวนเดือน </t>
  </si>
  <si>
    <t xml:space="preserve">       Nwc/ANI          &lt;3เดือน Risk=2    &lt;6เดือน Risk=1   มากกว่า6 เดือน=0</t>
  </si>
  <si>
    <t>ข้อมูล ณ 27/4/2559 9.00 น.</t>
  </si>
  <si>
    <t>น้ำหนัก</t>
  </si>
  <si>
    <t xml:space="preserve"> ANI กำไร(ขาดทุน) หาร จำนวนเดือน  </t>
  </si>
  <si>
    <t>มากกว่า(1.50)</t>
  </si>
  <si>
    <t>มากกว่า(1.00)</t>
  </si>
  <si>
    <t>มากกว่า(0.80)</t>
  </si>
  <si>
    <t>คะแนน</t>
  </si>
  <si>
    <t xml:space="preserve">ทุนสำรอง (-) </t>
  </si>
  <si>
    <t>Risk Scoring เม.ย.59</t>
  </si>
  <si>
    <t xml:space="preserve">NI  </t>
  </si>
  <si>
    <t>ผลการประเมินภาวะวิกฤติ เมษายน ปีงบประมาณ 2559</t>
  </si>
  <si>
    <t>(ตัดค่าเสื่อม)ผลการประเมินภาวะวิกฤติ เมษายน ปีงบประมาณ 2559</t>
  </si>
  <si>
    <t>Risk Scoring พ.ค.59</t>
  </si>
  <si>
    <t>NI กำไร(ขาดทุน) รวมค่าเสื่อม</t>
  </si>
  <si>
    <r>
      <t xml:space="preserve">Survive Index = ดัชนีวัดความอยู่รอด  </t>
    </r>
    <r>
      <rPr>
        <u/>
        <sz val="16"/>
        <rFont val="Angsana New"/>
        <family val="1"/>
      </rPr>
      <t>ประเมิณโดย</t>
    </r>
    <r>
      <rPr>
        <sz val="16"/>
        <rFont val="Angsana New"/>
        <family val="1"/>
      </rPr>
      <t xml:space="preserve">  1. ถ้า Status Index = 0       Suvive Index จะ = 0  (ถ้า กำไรสุทธิ เป็นบวก ไม่ต้องหาค่าเฉลี่ย คะแนน = 0)</t>
    </r>
  </si>
  <si>
    <t xml:space="preserve">ประเภทความเสี่ยง Liquid Index </t>
  </si>
  <si>
    <t xml:space="preserve">ประเภทความเสี่ยง status Index  </t>
  </si>
  <si>
    <t xml:space="preserve">ประเภทความเสี่ยง Survive Index </t>
  </si>
  <si>
    <t xml:space="preserve">ประเภทความเสี่ยง status Index </t>
  </si>
  <si>
    <t xml:space="preserve">ประเภทความเสี่ยง Survive Index  </t>
  </si>
  <si>
    <t>(ดัชนีวัดสภาพคล่องทางการเงิน)</t>
  </si>
  <si>
    <t>(ดัชนีวัดสถานะทางการเงิน)</t>
  </si>
  <si>
    <t xml:space="preserve"> (ดัชนีวัดความอยู่รอด)</t>
  </si>
  <si>
    <t xml:space="preserve"> (ดัชนีวัดสถานะทางการเงิน)</t>
  </si>
  <si>
    <t>(ดัชนีวัดความอยู่รอด)</t>
  </si>
  <si>
    <t>ผลการประเมินภาวะวิกฤติ พฤษภาคม ปีงบประมาณ 2559</t>
  </si>
  <si>
    <r>
      <t xml:space="preserve">Liquid Index = ดัชนีวัดสภาพคล่องทางการเงิน  </t>
    </r>
    <r>
      <rPr>
        <u/>
        <sz val="14"/>
        <rFont val="Angsana New"/>
        <family val="1"/>
      </rPr>
      <t>ประเมิณโดย</t>
    </r>
    <r>
      <rPr>
        <sz val="14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</si>
  <si>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rFont val="Angsana New"/>
        <family val="1"/>
      </rPr>
      <t>ประเมิณโดย</t>
    </r>
    <r>
      <rPr>
        <sz val="14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</si>
  <si>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4"/>
        <rFont val="Angsana New"/>
        <family val="1"/>
      </rPr>
      <t>ประเมิณโดย</t>
    </r>
    <r>
      <rPr>
        <sz val="14"/>
        <rFont val="Angsana New"/>
        <family val="1"/>
      </rPr>
      <t xml:space="preserve">  1. ถ้า Status Index = 0       Suvive Index จะ = 0  (ถ้า กำไรสุทธิ เป็นบวก ไม่ต้องหาค่าเฉลี่ย คะแนน = 0)</t>
    </r>
  </si>
  <si>
    <t>C</t>
  </si>
  <si>
    <t>D</t>
  </si>
  <si>
    <t>E</t>
  </si>
  <si>
    <t>G</t>
  </si>
  <si>
    <t>H</t>
  </si>
  <si>
    <t>M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</si>
  <si>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</si>
  <si>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</si>
  <si>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</si>
  <si>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</si>
  <si>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</si>
  <si>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</si>
  <si>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</si>
  <si>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</si>
  <si>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ผลการประเมินภาวะวิกฤติ สิงหาคม ปีงบประมาณ 2559</t>
  </si>
  <si>
    <t>ผลการประเมินภาวะวิกฤติ กรกฎาคม ปีงบประมาณ 2559</t>
  </si>
  <si>
    <t>Risk Scoring ก.ค.59</t>
  </si>
  <si>
    <t>1</t>
  </si>
  <si>
    <t>0</t>
  </si>
  <si>
    <r>
      <t xml:space="preserve">เงินสดและลูกหนี้           </t>
    </r>
    <r>
      <rPr>
        <b/>
        <sz val="18"/>
        <color indexed="56"/>
        <rFont val="Angsana New"/>
        <family val="1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</si>
  <si>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</si>
  <si>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8"/>
        <color indexed="56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</si>
  <si>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</si>
  <si>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</si>
  <si>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Angsana New"/>
        <family val="1"/>
      </rPr>
      <t>ประเมิณโดย</t>
    </r>
    <r>
      <rPr>
        <sz val="18"/>
        <color indexed="8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</si>
  <si>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Angsana New"/>
        <family val="1"/>
      </rPr>
      <t>ประเมิณโดย</t>
    </r>
    <r>
      <rPr>
        <b/>
        <sz val="18"/>
        <color indexed="8"/>
        <rFont val="Angsana New"/>
        <family val="1"/>
      </rPr>
      <t xml:space="preserve">  </t>
    </r>
    <r>
      <rPr>
        <sz val="18"/>
        <color indexed="8"/>
        <rFont val="Angsana New"/>
        <family val="1"/>
      </rPr>
      <t>1. ถ้า Status Index = 0       Suvive Index จะ = 0  (</t>
    </r>
    <r>
      <rPr>
        <sz val="18"/>
        <color indexed="30"/>
        <rFont val="Angsana New"/>
        <family val="1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</si>
  <si>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Angsana New"/>
        <family val="1"/>
      </rPr>
      <t>(7 คะแนน = วิกฤติมากสุด)</t>
    </r>
    <r>
      <rPr>
        <b/>
        <sz val="18"/>
        <color indexed="30"/>
        <rFont val="Angsana New"/>
        <family val="1"/>
      </rPr>
      <t>(0 คะแนน = ภาวะปกติ)</t>
    </r>
  </si>
  <si>
    <t>รวมคะแนน ผ่าน</t>
  </si>
  <si>
    <t>การจัด Grade</t>
  </si>
  <si>
    <t>ระยะถัวเฉลี่ยเก็บหนี้ UC (207)</t>
  </si>
  <si>
    <t>ระยะถัวเฉลี่ยชำระหนี้การค้า(251)</t>
  </si>
  <si>
    <t>ระยะถัวเฉลี่ยเก็บหนี้ ขรก.(214)</t>
  </si>
  <si>
    <t>ระยะถัวเฉลี่ยเก็บหนี้ ปกส.(202)</t>
  </si>
  <si>
    <t>บริหารสินค้าคงคลัง(246)</t>
  </si>
  <si>
    <t>อัตราผลตอบแทนจากสินทรัพย์(306)</t>
  </si>
  <si>
    <t>F</t>
  </si>
  <si>
    <t>ประสิทธิภาพการทำกำไร %(304)</t>
  </si>
  <si>
    <t>B-</t>
  </si>
  <si>
    <t>C-</t>
  </si>
  <si>
    <t>Grade</t>
  </si>
  <si>
    <t>วิเคราะห์</t>
  </si>
  <si>
    <t>สค.59</t>
  </si>
  <si>
    <r>
      <t>ท่าเรือ,</t>
    </r>
    <r>
      <rPr>
        <b/>
        <sz val="10"/>
        <color indexed="8"/>
        <rFont val="Cordia New"/>
        <family val="2"/>
      </rPr>
      <t>รพช.</t>
    </r>
  </si>
  <si>
    <r>
      <t>สมเด็จฯ,</t>
    </r>
    <r>
      <rPr>
        <b/>
        <sz val="10"/>
        <color indexed="8"/>
        <rFont val="Cordia New"/>
        <family val="2"/>
      </rPr>
      <t>รพช.</t>
    </r>
  </si>
  <si>
    <r>
      <t>บางไทร,</t>
    </r>
    <r>
      <rPr>
        <b/>
        <sz val="10"/>
        <color indexed="8"/>
        <rFont val="Cordia New"/>
        <family val="2"/>
      </rPr>
      <t>รพช.</t>
    </r>
  </si>
  <si>
    <r>
      <t>บางบาล,</t>
    </r>
    <r>
      <rPr>
        <b/>
        <sz val="10"/>
        <color indexed="8"/>
        <rFont val="Cordia New"/>
        <family val="2"/>
      </rPr>
      <t>รพช.</t>
    </r>
  </si>
  <si>
    <r>
      <t>บางปะอิน,</t>
    </r>
    <r>
      <rPr>
        <b/>
        <sz val="10"/>
        <color indexed="8"/>
        <rFont val="Cordia New"/>
        <family val="2"/>
      </rPr>
      <t>รพช.</t>
    </r>
  </si>
  <si>
    <r>
      <t>บางปะหัน,</t>
    </r>
    <r>
      <rPr>
        <b/>
        <sz val="10"/>
        <color indexed="8"/>
        <rFont val="Cordia New"/>
        <family val="2"/>
      </rPr>
      <t>รพช.</t>
    </r>
  </si>
  <si>
    <r>
      <t>ผักไห่,</t>
    </r>
    <r>
      <rPr>
        <b/>
        <sz val="10"/>
        <color indexed="8"/>
        <rFont val="Cordia New"/>
        <family val="2"/>
      </rPr>
      <t>รพช.</t>
    </r>
  </si>
  <si>
    <r>
      <t>ภาชี,</t>
    </r>
    <r>
      <rPr>
        <b/>
        <sz val="10"/>
        <color indexed="8"/>
        <rFont val="Cordia New"/>
        <family val="2"/>
      </rPr>
      <t>รพช</t>
    </r>
  </si>
  <si>
    <r>
      <t>วังน้อย,</t>
    </r>
    <r>
      <rPr>
        <b/>
        <sz val="10"/>
        <color indexed="8"/>
        <rFont val="Cordia New"/>
        <family val="2"/>
      </rPr>
      <t>รพช.</t>
    </r>
  </si>
  <si>
    <r>
      <t>บางซ้าย,</t>
    </r>
    <r>
      <rPr>
        <b/>
        <sz val="10"/>
        <color indexed="8"/>
        <rFont val="Cordia New"/>
        <family val="2"/>
      </rPr>
      <t>รพช.</t>
    </r>
  </si>
  <si>
    <r>
      <t>อุทัย,</t>
    </r>
    <r>
      <rPr>
        <b/>
        <sz val="10"/>
        <color indexed="8"/>
        <rFont val="Cordia New"/>
        <family val="2"/>
      </rPr>
      <t>รพช.</t>
    </r>
  </si>
  <si>
    <r>
      <t>มหาราช,</t>
    </r>
    <r>
      <rPr>
        <b/>
        <sz val="10"/>
        <color indexed="8"/>
        <rFont val="Cordia New"/>
        <family val="2"/>
      </rPr>
      <t>รพช.</t>
    </r>
  </si>
  <si>
    <r>
      <t>บ้านแพรก,</t>
    </r>
    <r>
      <rPr>
        <b/>
        <sz val="10"/>
        <color indexed="8"/>
        <rFont val="Cordia New"/>
        <family val="2"/>
      </rPr>
      <t>รพช.</t>
    </r>
  </si>
  <si>
    <t>พยากรรื</t>
  </si>
  <si>
    <t>ผลการประเมินภาวะวิกฤติ กันยายน ปีงบประมาณ 2559</t>
  </si>
  <si>
    <t>อัตราผลตอบแทนจากสินทรัพย์(306) %</t>
  </si>
  <si>
    <t>ระยะถัวเฉลี่ยชำระหนี้การค้า(ข้อ251) (ไม่เกิน 90 วัน)</t>
  </si>
  <si>
    <t>บริหารสินค้าคงคลัง(ข้อ246) (ไม่เกิน 60 วัน)</t>
  </si>
  <si>
    <r>
      <t xml:space="preserve">ระยะถัวเฉลี่ยเก็บหนี้ </t>
    </r>
    <r>
      <rPr>
        <b/>
        <sz val="12"/>
        <color indexed="8"/>
        <rFont val="TH SarabunPSK"/>
        <family val="2"/>
      </rPr>
      <t>UC (</t>
    </r>
    <r>
      <rPr>
        <b/>
        <sz val="12"/>
        <color indexed="8"/>
        <rFont val="Arial"/>
        <family val="2"/>
      </rPr>
      <t>ข้อ207) (ไม่เกิน 60 วัน)</t>
    </r>
  </si>
  <si>
    <r>
      <t>ระยะถัวเฉลี่ยเก็บหนี้ ขรก</t>
    </r>
    <r>
      <rPr>
        <b/>
        <sz val="12"/>
        <color indexed="8"/>
        <rFont val="TH SarabunPSK"/>
        <family val="2"/>
      </rPr>
      <t>.(ข้อ 214) (ไม่เกิน 60 วัน)</t>
    </r>
  </si>
  <si>
    <r>
      <t>ระยะถัวเฉลี่ยเก็บหนี้ ปกส</t>
    </r>
    <r>
      <rPr>
        <b/>
        <sz val="12"/>
        <color indexed="8"/>
        <rFont val="TH SarabunPSK"/>
        <family val="2"/>
      </rPr>
      <t>.(ข้อ 202) (ไม่เกิน 60 วัน)</t>
    </r>
  </si>
  <si>
    <r>
      <t xml:space="preserve">การจัด </t>
    </r>
    <r>
      <rPr>
        <b/>
        <sz val="12"/>
        <color indexed="8"/>
        <rFont val="TH SarabunPSK"/>
        <family val="2"/>
      </rPr>
      <t>Grade</t>
    </r>
  </si>
  <si>
    <t>Risk Scoring ก.ย.59</t>
  </si>
  <si>
    <t>ประสิทธิภาพการทำกำไร %(304) (มากกว่า1)</t>
  </si>
  <si>
    <t>อัตราผลตอบแทนจากสินทรัพย์(306) %  (มากกว่า1)</t>
  </si>
  <si>
    <t>I</t>
  </si>
  <si>
    <t>L</t>
  </si>
  <si>
    <t>c</t>
  </si>
  <si>
    <t>J</t>
  </si>
  <si>
    <t>IF(L4&lt;0,IF((K4/-(L4/12))&lt;3,2,IF((K4/(-L4/12))&lt;6,1,0)),0)</t>
  </si>
  <si>
    <t>IF(I5&lt;0,IF((H5/-(I5/12))&lt;3,2,IF((H5/(-I5/12))&lt;6,1,0)),0)</t>
  </si>
  <si>
    <t>Risk Scoring พ.ย.59</t>
  </si>
  <si>
    <t>Risk Scoring ต.ค.59</t>
  </si>
  <si>
    <t>ผลการประเมินภาวะวิกฤติ ธันวาคม ปีงบประมาณ 2560</t>
  </si>
  <si>
    <t>ผลการประเมินภาวะวิกฤติ มกราคม ปีงบประมาณ 2560</t>
  </si>
  <si>
    <t>Risk Scoring ม.ค.60</t>
  </si>
  <si>
    <t>Risk Scoring ธ.ค.59</t>
  </si>
  <si>
    <t>เงินบำรุงคงเหลือหักหนี้แล้ว (105)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</si>
</sst>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#,##0.00_ ;\-#,##0.00\ "/>
  </numFmts>
  <fonts count="137" x14ac:knownFonts="1">
    <font>
      <sz val="11"/>
      <color theme="1"/>
      <name val="Tahoma"/>
      <family val="2"/>
      <charset val="222"/>
      <scheme val="minor"/>
    </font>
    <font>
      <sz val="18"/>
      <color indexed="8"/>
      <name val="Angsana New"/>
      <family val="1"/>
    </font>
    <font>
      <b/>
      <sz val="18"/>
      <color indexed="56"/>
      <name val="Angsana New"/>
      <family val="1"/>
    </font>
    <font>
      <b/>
      <sz val="18"/>
      <color indexed="8"/>
      <name val="Angsana New"/>
      <family val="1"/>
    </font>
    <font>
      <b/>
      <sz val="18"/>
      <color indexed="30"/>
      <name val="Angsana New"/>
      <family val="1"/>
    </font>
    <font>
      <u/>
      <sz val="18"/>
      <color indexed="8"/>
      <name val="Angsana New"/>
      <family val="1"/>
    </font>
    <font>
      <sz val="18"/>
      <color indexed="30"/>
      <name val="Angsana New"/>
      <family val="1"/>
    </font>
    <font>
      <b/>
      <sz val="18"/>
      <color indexed="10"/>
      <name val="Angsana New"/>
      <family val="1"/>
    </font>
    <font>
      <sz val="10"/>
      <name val="Arial"/>
      <family val="2"/>
    </font>
    <font>
      <sz val="12"/>
      <name val="Arial"/>
      <family val="2"/>
    </font>
    <font>
      <b/>
      <sz val="22"/>
      <name val="TH SarabunPSK"/>
      <family val="2"/>
    </font>
    <font>
      <sz val="18"/>
      <name val="TH SarabunPSK"/>
      <family val="2"/>
    </font>
    <font>
      <b/>
      <sz val="25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6"/>
      <color indexed="30"/>
      <name val="TH SarabunPSK"/>
      <family val="2"/>
    </font>
    <font>
      <u/>
      <sz val="16"/>
      <color indexed="8"/>
      <name val="TH SarabunPSK"/>
      <family val="2"/>
    </font>
    <font>
      <sz val="22"/>
      <name val="TH SarabunPSK"/>
      <family val="2"/>
    </font>
    <font>
      <b/>
      <sz val="16"/>
      <name val="TH SarabunPSK"/>
      <family val="2"/>
    </font>
    <font>
      <sz val="16"/>
      <name val="Arial"/>
      <family val="2"/>
    </font>
    <font>
      <b/>
      <sz val="1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sz val="18"/>
      <color indexed="10"/>
      <name val="Angsana New"/>
      <family val="1"/>
    </font>
    <font>
      <b/>
      <sz val="6"/>
      <color indexed="8"/>
      <name val="Angsana New"/>
      <family val="1"/>
    </font>
    <font>
      <b/>
      <u/>
      <sz val="16"/>
      <name val="TH SarabunPSK"/>
      <family val="2"/>
    </font>
    <font>
      <sz val="14"/>
      <name val="Angsana New"/>
      <family val="1"/>
    </font>
    <font>
      <i/>
      <sz val="14"/>
      <name val="Angsana New"/>
      <family val="1"/>
    </font>
    <font>
      <u/>
      <sz val="14"/>
      <name val="Angsana New"/>
      <family val="1"/>
    </font>
    <font>
      <b/>
      <sz val="14"/>
      <color indexed="56"/>
      <name val="Tahoma"/>
      <family val="2"/>
    </font>
    <font>
      <b/>
      <sz val="14"/>
      <color indexed="30"/>
      <name val="Tahoma"/>
      <family val="2"/>
    </font>
    <font>
      <u/>
      <sz val="14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30"/>
      <name val="Tahoma"/>
      <family val="2"/>
    </font>
    <font>
      <b/>
      <sz val="14"/>
      <color indexed="10"/>
      <name val="Tahoma"/>
      <family val="2"/>
    </font>
    <font>
      <b/>
      <sz val="10"/>
      <color indexed="8"/>
      <name val="Cordia New"/>
      <family val="2"/>
    </font>
    <font>
      <b/>
      <sz val="12"/>
      <color indexed="8"/>
      <name val="TH SarabunPSK"/>
      <family val="2"/>
    </font>
    <font>
      <b/>
      <sz val="12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2"/>
      <color rgb="FF000000"/>
      <name val="Tahoma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25"/>
      <color theme="3" tint="0.79998168889431442"/>
      <name val="TH SarabunPSK"/>
      <family val="2"/>
    </font>
    <font>
      <b/>
      <sz val="16"/>
      <color rgb="FF000000"/>
      <name val="Tahoma"/>
      <family val="2"/>
    </font>
    <font>
      <sz val="18"/>
      <color rgb="FFFF0000"/>
      <name val="TH SarabunPSK"/>
      <family val="2"/>
    </font>
    <font>
      <b/>
      <sz val="22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22"/>
      <color theme="1"/>
      <name val="TH SarabunPSK"/>
      <family val="2"/>
    </font>
    <font>
      <b/>
      <sz val="25"/>
      <color theme="8" tint="0.59999389629810485"/>
      <name val="TH SarabunPSK"/>
      <family val="2"/>
    </font>
    <font>
      <sz val="22"/>
      <color rgb="FFFF000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sz val="16"/>
      <color rgb="FF0070C0"/>
      <name val="TH SarabunPSK"/>
      <family val="2"/>
    </font>
    <font>
      <sz val="22"/>
      <color rgb="FF000000"/>
      <name val="TH SarabunPSK"/>
      <family val="2"/>
    </font>
    <font>
      <b/>
      <sz val="16"/>
      <name val="Tahoma"/>
      <family val="2"/>
      <scheme val="minor"/>
    </font>
    <font>
      <sz val="16"/>
      <name val="Tahoma"/>
      <family val="2"/>
      <charset val="222"/>
      <scheme val="minor"/>
    </font>
    <font>
      <sz val="16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sz val="16"/>
      <color theme="0"/>
      <name val="Tahoma"/>
      <family val="2"/>
      <charset val="222"/>
      <scheme val="minor"/>
    </font>
    <font>
      <sz val="16"/>
      <color rgb="FF000000"/>
      <name val="Tahoma"/>
      <family val="2"/>
    </font>
    <font>
      <sz val="16"/>
      <color rgb="FFC00000"/>
      <name val="TH SarabunPSK"/>
      <family val="2"/>
    </font>
    <font>
      <sz val="16"/>
      <color theme="3" tint="0.79998168889431442"/>
      <name val="TH SarabunPSK"/>
      <family val="2"/>
    </font>
    <font>
      <sz val="18"/>
      <color rgb="FF0070C0"/>
      <name val="Angsana New"/>
      <family val="1"/>
    </font>
    <font>
      <b/>
      <sz val="16"/>
      <color theme="1"/>
      <name val="Tahoma"/>
      <family val="2"/>
      <scheme val="minor"/>
    </font>
    <font>
      <b/>
      <sz val="16"/>
      <color theme="1"/>
      <name val="Tahoma"/>
      <family val="2"/>
      <charset val="222"/>
      <scheme val="minor"/>
    </font>
    <font>
      <b/>
      <sz val="16"/>
      <color theme="0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C00000"/>
      <name val="TH SarabunPSK"/>
      <family val="2"/>
    </font>
    <font>
      <b/>
      <sz val="28"/>
      <color theme="1"/>
      <name val="TH SarabunPSK"/>
      <family val="2"/>
    </font>
    <font>
      <b/>
      <sz val="28"/>
      <color rgb="FFFF0000"/>
      <name val="TH SarabunPSK"/>
      <family val="2"/>
    </font>
    <font>
      <b/>
      <sz val="25"/>
      <color rgb="FFC00000"/>
      <name val="TH SarabunPSK"/>
      <family val="2"/>
    </font>
    <font>
      <b/>
      <sz val="28"/>
      <color rgb="FFC00000"/>
      <name val="TH SarabunPSK"/>
      <family val="2"/>
    </font>
    <font>
      <b/>
      <sz val="7"/>
      <color rgb="FF000000"/>
      <name val="Tahoma"/>
      <family val="2"/>
    </font>
    <font>
      <b/>
      <sz val="6"/>
      <color rgb="FF000000"/>
      <name val="Tahoma"/>
      <family val="2"/>
    </font>
    <font>
      <b/>
      <sz val="16"/>
      <color rgb="FF000000"/>
      <name val="Angsana New"/>
      <family val="1"/>
    </font>
    <font>
      <b/>
      <sz val="16"/>
      <color rgb="FF000000"/>
      <name val="TH SarabunPSK"/>
      <family val="2"/>
    </font>
    <font>
      <b/>
      <sz val="12"/>
      <color rgb="FFB7DEE8"/>
      <name val="TH SarabunPSK"/>
      <family val="2"/>
    </font>
    <font>
      <b/>
      <sz val="16"/>
      <color rgb="FFB7DEE8"/>
      <name val="TH SarabunPSK"/>
      <family val="2"/>
    </font>
    <font>
      <b/>
      <sz val="14"/>
      <color rgb="FF000000"/>
      <name val="Angsana New"/>
      <family val="1"/>
    </font>
    <font>
      <b/>
      <sz val="16"/>
      <color rgb="FFFF0000"/>
      <name val="Tahoma"/>
      <family val="2"/>
    </font>
    <font>
      <b/>
      <sz val="16"/>
      <color theme="1"/>
      <name val="Tahoma"/>
      <family val="2"/>
    </font>
    <font>
      <sz val="21"/>
      <color theme="1"/>
      <name val="Angsana New"/>
      <family val="1"/>
    </font>
    <font>
      <sz val="21"/>
      <color theme="1"/>
      <name val="Tahoma"/>
      <family val="2"/>
      <charset val="222"/>
      <scheme val="minor"/>
    </font>
    <font>
      <sz val="16"/>
      <color rgb="FF000000"/>
      <name val="Angsana New"/>
      <family val="1"/>
    </font>
    <font>
      <sz val="15"/>
      <color rgb="FF000000"/>
      <name val="Angsana New"/>
      <family val="1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8"/>
      <color rgb="FF000000"/>
      <name val="TH SarabunPSK"/>
      <family val="2"/>
    </font>
    <font>
      <b/>
      <sz val="20"/>
      <color rgb="FFFF0000"/>
      <name val="TH SarabunPSK"/>
      <family val="2"/>
    </font>
    <font>
      <b/>
      <sz val="14"/>
      <color rgb="FFFF0000"/>
      <name val="Tahoma"/>
      <family val="2"/>
      <scheme val="minor"/>
    </font>
    <font>
      <b/>
      <sz val="14"/>
      <name val="Tahoma"/>
      <family val="2"/>
      <scheme val="minor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rgb="FFFF0000"/>
      <name val="Tahoma"/>
      <family val="2"/>
      <scheme val="minor"/>
    </font>
    <font>
      <b/>
      <sz val="14"/>
      <color rgb="FF002060"/>
      <name val="Tahoma"/>
      <family val="2"/>
      <scheme val="minor"/>
    </font>
    <font>
      <sz val="14"/>
      <color rgb="FF002060"/>
      <name val="Tahoma"/>
      <family val="2"/>
      <scheme val="minor"/>
    </font>
    <font>
      <b/>
      <sz val="14"/>
      <color rgb="FF0070C0"/>
      <name val="Tahoma"/>
      <family val="2"/>
      <scheme val="minor"/>
    </font>
    <font>
      <b/>
      <sz val="24"/>
      <color theme="1"/>
      <name val="TH SarabunPSK"/>
      <family val="2"/>
    </font>
    <font>
      <b/>
      <sz val="18"/>
      <color theme="1"/>
      <name val="Tahoma"/>
      <family val="2"/>
      <scheme val="minor"/>
    </font>
    <font>
      <b/>
      <sz val="18"/>
      <name val="Tahoma"/>
      <family val="2"/>
      <scheme val="minor"/>
    </font>
    <font>
      <b/>
      <sz val="22"/>
      <color theme="1"/>
      <name val="TH SarabunPSK"/>
      <family val="2"/>
    </font>
    <font>
      <sz val="16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20"/>
      <color theme="1"/>
      <name val="Angsana New"/>
      <family val="1"/>
    </font>
    <font>
      <b/>
      <sz val="9"/>
      <color rgb="FF000000"/>
      <name val="Angsana New"/>
      <family val="1"/>
    </font>
    <font>
      <b/>
      <sz val="16"/>
      <color theme="1"/>
      <name val="Angsana New"/>
      <family val="1"/>
    </font>
    <font>
      <b/>
      <i/>
      <sz val="14"/>
      <color indexed="8"/>
      <name val="Tahoma"/>
      <family val="2"/>
      <scheme val="minor"/>
    </font>
    <font>
      <b/>
      <sz val="14"/>
      <color rgb="FF000000"/>
      <name val="Tahoma"/>
      <family val="2"/>
      <scheme val="minor"/>
    </font>
    <font>
      <b/>
      <sz val="25"/>
      <color theme="1"/>
      <name val="Tahoma"/>
      <family val="2"/>
      <scheme val="minor"/>
    </font>
    <font>
      <b/>
      <sz val="14"/>
      <color indexed="8"/>
      <name val="Tahoma"/>
      <family val="2"/>
      <scheme val="minor"/>
    </font>
    <font>
      <sz val="14"/>
      <color rgb="FF000000"/>
      <name val="Tahoma"/>
      <family val="2"/>
      <scheme val="minor"/>
    </font>
    <font>
      <b/>
      <sz val="22"/>
      <color rgb="FF000000"/>
      <name val="TH SarabunPSK"/>
      <family val="2"/>
    </font>
    <font>
      <b/>
      <sz val="12"/>
      <color rgb="FF000000"/>
      <name val="Arial"/>
      <family val="2"/>
    </font>
    <font>
      <b/>
      <u/>
      <sz val="48"/>
      <color theme="1"/>
      <name val="Tahoma"/>
      <family val="2"/>
      <scheme val="minor"/>
    </font>
    <font>
      <sz val="18"/>
      <color rgb="FFFF0000"/>
      <name val="Tahoma"/>
      <family val="2"/>
      <scheme val="minor"/>
    </font>
    <font>
      <sz val="20"/>
      <color theme="1"/>
      <name val="Tahoma"/>
      <family val="2"/>
      <scheme val="minor"/>
    </font>
    <font>
      <b/>
      <sz val="20"/>
      <color indexed="81"/>
      <name val="Tahoma"/>
      <family val="2"/>
    </font>
    <font>
      <sz val="20"/>
      <color indexed="81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23600"/>
        <bgColor indexed="64"/>
      </patternFill>
    </fill>
    <fill>
      <patternFill patternType="solid">
        <fgColor rgb="FFFD502F"/>
        <bgColor rgb="FFFF6600"/>
      </patternFill>
    </fill>
    <fill>
      <patternFill patternType="solid">
        <fgColor rgb="FFFF7979"/>
        <bgColor indexed="64"/>
      </patternFill>
    </fill>
    <fill>
      <patternFill patternType="solid">
        <fgColor rgb="FFFF8C7A"/>
        <bgColor indexed="64"/>
      </patternFill>
    </fill>
    <fill>
      <patternFill patternType="solid">
        <fgColor rgb="FFFFA983"/>
        <bgColor indexed="64"/>
      </patternFill>
    </fill>
    <fill>
      <patternFill patternType="solid">
        <fgColor rgb="FFFFBE8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FCAA78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FDC07C"/>
        <bgColor indexed="64"/>
      </patternFill>
    </fill>
    <fill>
      <patternFill patternType="solid">
        <fgColor rgb="FFFED68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A7F70"/>
        <bgColor indexed="64"/>
      </patternFill>
    </fill>
    <fill>
      <patternFill patternType="solid">
        <fgColor rgb="FFFB957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ck">
        <color theme="8" tint="0.39994506668294322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thick">
        <color theme="8" tint="0.39988402966399123"/>
      </left>
      <right style="thick">
        <color theme="8" tint="0.39991454817346722"/>
      </right>
      <top style="thick">
        <color theme="8" tint="0.39988402966399123"/>
      </top>
      <bottom style="thick">
        <color theme="8" tint="0.39991454817346722"/>
      </bottom>
      <diagonal/>
    </border>
    <border>
      <left style="thick">
        <color theme="8" tint="0.39991454817346722"/>
      </left>
      <right style="thick">
        <color theme="8" tint="0.399914548173467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39991454817346722"/>
      </left>
      <right style="thick">
        <color theme="8" tint="0.39991454817346722"/>
      </right>
      <top style="thick">
        <color theme="8" tint="0.399914548173467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1454817346722"/>
      </top>
      <bottom style="thick">
        <color theme="8" tint="0.39994506668294322"/>
      </bottom>
      <diagonal/>
    </border>
    <border>
      <left style="thick">
        <color theme="8" tint="0.399914548173467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 style="thick">
        <color rgb="FF92CDDC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thick">
        <color rgb="FF92CDDC"/>
      </bottom>
      <diagonal/>
    </border>
    <border>
      <left style="medium">
        <color rgb="FF4BACC6"/>
      </left>
      <right style="thick">
        <color rgb="FF92CDDC"/>
      </right>
      <top style="medium">
        <color rgb="FF4BACC6"/>
      </top>
      <bottom style="thick">
        <color rgb="FF92CDDC"/>
      </bottom>
      <diagonal/>
    </border>
    <border>
      <left style="thick">
        <color rgb="FF92CDDC"/>
      </left>
      <right style="thick">
        <color rgb="FF92CDDC"/>
      </right>
      <top style="thick">
        <color rgb="FF92CDDC"/>
      </top>
      <bottom style="thick">
        <color rgb="FF92CDDC"/>
      </bottom>
      <diagonal/>
    </border>
    <border>
      <left style="thick">
        <color rgb="FF92CDDC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ck">
        <color rgb="FF92CDDC"/>
      </right>
      <top style="medium">
        <color rgb="FF4BACC6"/>
      </top>
      <bottom style="medium">
        <color rgb="FF4BACC6"/>
      </bottom>
      <diagonal/>
    </border>
    <border>
      <left style="thick">
        <color rgb="FF92CDDC"/>
      </left>
      <right/>
      <top style="thick">
        <color rgb="FF92CDDC"/>
      </top>
      <bottom style="thick">
        <color rgb="FF92CDDC"/>
      </bottom>
      <diagonal/>
    </border>
    <border>
      <left/>
      <right style="thick">
        <color rgb="FF92CDDC"/>
      </right>
      <top style="thick">
        <color rgb="FF92CDDC"/>
      </top>
      <bottom style="thick">
        <color rgb="FF92CDDC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4BACC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8" fillId="0" borderId="0"/>
    <xf numFmtId="43" fontId="41" fillId="0" borderId="0" applyFont="0" applyFill="0" applyBorder="0" applyAlignment="0" applyProtection="0"/>
  </cellStyleXfs>
  <cellXfs count="766">
    <xf numFmtId="0" fontId="0" fillId="0" borderId="0" xfId="0"/>
    <xf numFmtId="0" fontId="44" fillId="0" borderId="0" xfId="0" applyFont="1"/>
    <xf numFmtId="43" fontId="41" fillId="0" borderId="0" xfId="2" applyFont="1"/>
    <xf numFmtId="0" fontId="42" fillId="0" borderId="0" xfId="0" applyFont="1"/>
    <xf numFmtId="0" fontId="45" fillId="2" borderId="9" xfId="0" applyFont="1" applyFill="1" applyBorder="1" applyAlignment="1">
      <alignment horizontal="center" vertical="center" wrapText="1" readingOrder="1"/>
    </xf>
    <xf numFmtId="0" fontId="45" fillId="2" borderId="10" xfId="0" applyFont="1" applyFill="1" applyBorder="1" applyAlignment="1">
      <alignment horizontal="center" vertical="center" wrapText="1" readingOrder="1"/>
    </xf>
    <xf numFmtId="4" fontId="46" fillId="3" borderId="11" xfId="0" applyNumberFormat="1" applyFont="1" applyFill="1" applyBorder="1" applyAlignment="1">
      <alignment horizontal="center" wrapText="1" readingOrder="1"/>
    </xf>
    <xf numFmtId="0" fontId="46" fillId="0" borderId="12" xfId="0" applyFont="1" applyFill="1" applyBorder="1" applyAlignment="1">
      <alignment horizontal="center" wrapText="1" readingOrder="1"/>
    </xf>
    <xf numFmtId="0" fontId="46" fillId="0" borderId="13" xfId="0" applyFont="1" applyFill="1" applyBorder="1" applyAlignment="1">
      <alignment horizontal="center" wrapText="1" readingOrder="1"/>
    </xf>
    <xf numFmtId="2" fontId="46" fillId="3" borderId="11" xfId="0" applyNumberFormat="1" applyFont="1" applyFill="1" applyBorder="1" applyAlignment="1">
      <alignment horizontal="center" wrapText="1" readingOrder="1"/>
    </xf>
    <xf numFmtId="0" fontId="47" fillId="0" borderId="12" xfId="0" applyFont="1" applyFill="1" applyBorder="1" applyAlignment="1">
      <alignment horizontal="center" wrapText="1" readingOrder="1"/>
    </xf>
    <xf numFmtId="0" fontId="47" fillId="0" borderId="13" xfId="0" applyFont="1" applyFill="1" applyBorder="1" applyAlignment="1">
      <alignment horizontal="center" wrapText="1" readingOrder="1"/>
    </xf>
    <xf numFmtId="0" fontId="48" fillId="0" borderId="0" xfId="0" applyFont="1"/>
    <xf numFmtId="2" fontId="0" fillId="0" borderId="0" xfId="0" applyNumberFormat="1"/>
    <xf numFmtId="17" fontId="49" fillId="0" borderId="0" xfId="0" applyNumberFormat="1" applyFont="1" applyBorder="1" applyAlignment="1">
      <alignment horizontal="center"/>
    </xf>
    <xf numFmtId="43" fontId="49" fillId="0" borderId="0" xfId="2" applyFont="1" applyFill="1" applyBorder="1"/>
    <xf numFmtId="43" fontId="49" fillId="0" borderId="0" xfId="2" applyFont="1"/>
    <xf numFmtId="43" fontId="50" fillId="0" borderId="0" xfId="2" applyFont="1" applyFill="1" applyBorder="1" applyAlignment="1">
      <alignment horizontal="center" vertical="center"/>
    </xf>
    <xf numFmtId="187" fontId="50" fillId="0" borderId="0" xfId="2" applyNumberFormat="1" applyFont="1" applyFill="1" applyBorder="1" applyAlignment="1">
      <alignment horizontal="center"/>
    </xf>
    <xf numFmtId="43" fontId="50" fillId="0" borderId="0" xfId="2" applyFont="1" applyFill="1" applyBorder="1" applyAlignment="1"/>
    <xf numFmtId="0" fontId="49" fillId="0" borderId="0" xfId="0" applyFont="1" applyFill="1" applyAlignment="1">
      <alignment horizontal="center"/>
    </xf>
    <xf numFmtId="0" fontId="49" fillId="0" borderId="0" xfId="0" applyFont="1" applyFill="1"/>
    <xf numFmtId="0" fontId="49" fillId="0" borderId="0" xfId="0" applyFont="1" applyAlignment="1">
      <alignment horizontal="left"/>
    </xf>
    <xf numFmtId="43" fontId="51" fillId="0" borderId="1" xfId="2" applyFont="1" applyFill="1" applyBorder="1" applyAlignment="1"/>
    <xf numFmtId="0" fontId="51" fillId="0" borderId="1" xfId="0" applyFont="1" applyBorder="1" applyAlignment="1">
      <alignment horizontal="left"/>
    </xf>
    <xf numFmtId="0" fontId="49" fillId="0" borderId="1" xfId="0" applyFont="1" applyBorder="1"/>
    <xf numFmtId="0" fontId="49" fillId="0" borderId="0" xfId="0" applyFont="1" applyBorder="1"/>
    <xf numFmtId="43" fontId="51" fillId="0" borderId="1" xfId="2" applyFont="1" applyBorder="1" applyAlignment="1"/>
    <xf numFmtId="0" fontId="49" fillId="0" borderId="0" xfId="0" applyFont="1" applyAlignment="1">
      <alignment horizontal="left" vertical="center"/>
    </xf>
    <xf numFmtId="43" fontId="51" fillId="0" borderId="1" xfId="2" applyFont="1" applyFill="1" applyBorder="1" applyAlignment="1">
      <alignment vertical="center"/>
    </xf>
    <xf numFmtId="0" fontId="49" fillId="0" borderId="2" xfId="0" applyFont="1" applyBorder="1"/>
    <xf numFmtId="0" fontId="49" fillId="0" borderId="3" xfId="0" applyFont="1" applyBorder="1"/>
    <xf numFmtId="0" fontId="51" fillId="0" borderId="2" xfId="0" applyFont="1" applyBorder="1" applyAlignment="1">
      <alignment horizontal="left"/>
    </xf>
    <xf numFmtId="0" fontId="49" fillId="0" borderId="3" xfId="0" applyFont="1" applyBorder="1" applyAlignment="1">
      <alignment horizontal="center"/>
    </xf>
    <xf numFmtId="0" fontId="49" fillId="0" borderId="4" xfId="0" applyFont="1" applyBorder="1"/>
    <xf numFmtId="0" fontId="52" fillId="0" borderId="0" xfId="0" applyFont="1" applyAlignment="1">
      <alignment vertical="top"/>
    </xf>
    <xf numFmtId="43" fontId="51" fillId="0" borderId="5" xfId="2" applyFont="1" applyBorder="1" applyAlignment="1">
      <alignment horizontal="left" vertical="center"/>
    </xf>
    <xf numFmtId="43" fontId="51" fillId="0" borderId="6" xfId="2" applyFont="1" applyBorder="1" applyAlignment="1">
      <alignment vertical="center"/>
    </xf>
    <xf numFmtId="187" fontId="50" fillId="0" borderId="6" xfId="2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187" fontId="49" fillId="0" borderId="0" xfId="0" applyNumberFormat="1" applyFont="1" applyAlignment="1">
      <alignment horizontal="center"/>
    </xf>
    <xf numFmtId="0" fontId="49" fillId="0" borderId="0" xfId="0" applyFont="1"/>
    <xf numFmtId="0" fontId="52" fillId="0" borderId="0" xfId="0" applyFont="1" applyAlignment="1">
      <alignment horizontal="left"/>
    </xf>
    <xf numFmtId="43" fontId="51" fillId="0" borderId="0" xfId="2" applyFont="1"/>
    <xf numFmtId="43" fontId="53" fillId="0" borderId="0" xfId="2" applyFont="1" applyFill="1"/>
    <xf numFmtId="0" fontId="53" fillId="0" borderId="0" xfId="0" applyFont="1" applyFill="1" applyAlignment="1">
      <alignment horizontal="center"/>
    </xf>
    <xf numFmtId="187" fontId="49" fillId="0" borderId="0" xfId="2" applyNumberFormat="1" applyFont="1" applyAlignment="1">
      <alignment horizontal="center"/>
    </xf>
    <xf numFmtId="0" fontId="54" fillId="0" borderId="0" xfId="0" applyFont="1"/>
    <xf numFmtId="17" fontId="55" fillId="0" borderId="0" xfId="0" applyNumberFormat="1" applyFont="1" applyFill="1" applyBorder="1" applyAlignment="1">
      <alignment horizontal="center"/>
    </xf>
    <xf numFmtId="43" fontId="55" fillId="0" borderId="0" xfId="2" applyFont="1" applyFill="1" applyBorder="1" applyAlignment="1">
      <alignment horizontal="center"/>
    </xf>
    <xf numFmtId="43" fontId="56" fillId="0" borderId="0" xfId="2" applyFont="1" applyFill="1" applyBorder="1" applyAlignment="1">
      <alignment horizontal="center"/>
    </xf>
    <xf numFmtId="43" fontId="55" fillId="0" borderId="0" xfId="2" applyFont="1" applyFill="1" applyBorder="1"/>
    <xf numFmtId="43" fontId="56" fillId="0" borderId="0" xfId="2" applyFont="1" applyFill="1" applyBorder="1"/>
    <xf numFmtId="0" fontId="56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" fillId="0" borderId="0" xfId="1" applyFont="1" applyFill="1" applyBorder="1"/>
    <xf numFmtId="2" fontId="57" fillId="3" borderId="11" xfId="0" applyNumberFormat="1" applyFont="1" applyFill="1" applyBorder="1" applyAlignment="1">
      <alignment horizontal="center" wrapText="1" readingOrder="1"/>
    </xf>
    <xf numFmtId="0" fontId="49" fillId="0" borderId="0" xfId="0" applyFont="1" applyAlignment="1">
      <alignment horizontal="left"/>
    </xf>
    <xf numFmtId="0" fontId="45" fillId="2" borderId="9" xfId="0" applyFont="1" applyFill="1" applyBorder="1" applyAlignment="1">
      <alignment horizontal="center" vertical="center" wrapText="1" readingOrder="1"/>
    </xf>
    <xf numFmtId="0" fontId="58" fillId="0" borderId="13" xfId="0" applyFont="1" applyBorder="1" applyAlignment="1">
      <alignment horizontal="left" wrapText="1" readingOrder="1"/>
    </xf>
    <xf numFmtId="4" fontId="59" fillId="0" borderId="13" xfId="0" applyNumberFormat="1" applyFont="1" applyBorder="1"/>
    <xf numFmtId="4" fontId="10" fillId="0" borderId="13" xfId="0" applyNumberFormat="1" applyFont="1" applyBorder="1" applyAlignment="1">
      <alignment horizontal="center"/>
    </xf>
    <xf numFmtId="4" fontId="11" fillId="0" borderId="13" xfId="0" applyNumberFormat="1" applyFont="1" applyBorder="1"/>
    <xf numFmtId="4" fontId="11" fillId="0" borderId="14" xfId="0" applyNumberFormat="1" applyFont="1" applyBorder="1"/>
    <xf numFmtId="4" fontId="59" fillId="0" borderId="14" xfId="0" applyNumberFormat="1" applyFont="1" applyBorder="1"/>
    <xf numFmtId="4" fontId="60" fillId="0" borderId="13" xfId="0" applyNumberFormat="1" applyFont="1" applyBorder="1" applyAlignment="1">
      <alignment horizontal="center"/>
    </xf>
    <xf numFmtId="0" fontId="45" fillId="2" borderId="9" xfId="0" applyFont="1" applyFill="1" applyBorder="1" applyAlignment="1">
      <alignment horizontal="center" vertical="center" wrapText="1" readingOrder="1"/>
    </xf>
    <xf numFmtId="0" fontId="49" fillId="0" borderId="0" xfId="0" applyFont="1" applyAlignment="1">
      <alignment horizontal="left"/>
    </xf>
    <xf numFmtId="2" fontId="12" fillId="3" borderId="11" xfId="0" applyNumberFormat="1" applyFont="1" applyFill="1" applyBorder="1" applyAlignment="1">
      <alignment horizontal="center" wrapText="1" readingOrder="1"/>
    </xf>
    <xf numFmtId="4" fontId="59" fillId="0" borderId="13" xfId="0" applyNumberFormat="1" applyFont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4" fontId="61" fillId="0" borderId="13" xfId="0" applyNumberFormat="1" applyFont="1" applyBorder="1" applyAlignment="1">
      <alignment horizontal="center"/>
    </xf>
    <xf numFmtId="4" fontId="61" fillId="0" borderId="14" xfId="0" applyNumberFormat="1" applyFont="1" applyBorder="1" applyAlignment="1">
      <alignment horizontal="center"/>
    </xf>
    <xf numFmtId="2" fontId="61" fillId="0" borderId="13" xfId="0" applyNumberFormat="1" applyFont="1" applyBorder="1" applyAlignment="1">
      <alignment horizontal="center"/>
    </xf>
    <xf numFmtId="2" fontId="59" fillId="0" borderId="13" xfId="0" applyNumberFormat="1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63" fillId="0" borderId="13" xfId="0" applyNumberFormat="1" applyFont="1" applyBorder="1" applyAlignment="1">
      <alignment horizontal="center"/>
    </xf>
    <xf numFmtId="4" fontId="46" fillId="3" borderId="13" xfId="0" applyNumberFormat="1" applyFont="1" applyFill="1" applyBorder="1" applyAlignment="1">
      <alignment horizontal="center" wrapText="1" readingOrder="1"/>
    </xf>
    <xf numFmtId="2" fontId="64" fillId="3" borderId="14" xfId="0" applyNumberFormat="1" applyFont="1" applyFill="1" applyBorder="1" applyAlignment="1">
      <alignment horizontal="center" wrapText="1" readingOrder="1"/>
    </xf>
    <xf numFmtId="4" fontId="65" fillId="0" borderId="13" xfId="0" applyNumberFormat="1" applyFont="1" applyBorder="1" applyAlignment="1">
      <alignment horizontal="center"/>
    </xf>
    <xf numFmtId="2" fontId="46" fillId="3" borderId="14" xfId="0" applyNumberFormat="1" applyFont="1" applyFill="1" applyBorder="1" applyAlignment="1">
      <alignment horizontal="center" wrapText="1" readingOrder="1"/>
    </xf>
    <xf numFmtId="4" fontId="65" fillId="0" borderId="0" xfId="0" applyNumberFormat="1" applyFont="1" applyAlignment="1">
      <alignment horizontal="center"/>
    </xf>
    <xf numFmtId="4" fontId="0" fillId="0" borderId="0" xfId="0" applyNumberFormat="1"/>
    <xf numFmtId="43" fontId="48" fillId="0" borderId="0" xfId="2" applyFont="1"/>
    <xf numFmtId="0" fontId="66" fillId="0" borderId="0" xfId="0" applyFont="1"/>
    <xf numFmtId="0" fontId="48" fillId="0" borderId="13" xfId="0" applyFont="1" applyFill="1" applyBorder="1" applyAlignment="1">
      <alignment horizontal="center" wrapText="1" readingOrder="1"/>
    </xf>
    <xf numFmtId="0" fontId="67" fillId="0" borderId="13" xfId="0" applyFont="1" applyFill="1" applyBorder="1" applyAlignment="1">
      <alignment horizontal="center" wrapText="1" readingOrder="1"/>
    </xf>
    <xf numFmtId="0" fontId="15" fillId="0" borderId="13" xfId="0" applyFont="1" applyFill="1" applyBorder="1" applyAlignment="1">
      <alignment horizontal="center" wrapText="1" readingOrder="1"/>
    </xf>
    <xf numFmtId="2" fontId="48" fillId="0" borderId="0" xfId="0" applyNumberFormat="1" applyFont="1"/>
    <xf numFmtId="17" fontId="48" fillId="0" borderId="0" xfId="0" applyNumberFormat="1" applyFont="1" applyBorder="1" applyAlignment="1">
      <alignment horizontal="center"/>
    </xf>
    <xf numFmtId="43" fontId="48" fillId="0" borderId="0" xfId="2" applyFont="1" applyFill="1" applyBorder="1"/>
    <xf numFmtId="43" fontId="68" fillId="0" borderId="0" xfId="2" applyFont="1" applyFill="1" applyBorder="1" applyAlignment="1">
      <alignment horizontal="center" vertical="center"/>
    </xf>
    <xf numFmtId="187" fontId="68" fillId="0" borderId="0" xfId="2" applyNumberFormat="1" applyFont="1" applyFill="1" applyBorder="1" applyAlignment="1">
      <alignment horizontal="center"/>
    </xf>
    <xf numFmtId="43" fontId="68" fillId="0" borderId="0" xfId="2" applyFont="1" applyFill="1" applyBorder="1" applyAlignment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0" borderId="0" xfId="0" applyFont="1" applyAlignment="1">
      <alignment horizontal="left"/>
    </xf>
    <xf numFmtId="43" fontId="68" fillId="0" borderId="1" xfId="2" applyFont="1" applyFill="1" applyBorder="1" applyAlignment="1"/>
    <xf numFmtId="0" fontId="68" fillId="0" borderId="1" xfId="0" applyFont="1" applyBorder="1" applyAlignment="1">
      <alignment horizontal="left"/>
    </xf>
    <xf numFmtId="0" fontId="48" fillId="0" borderId="1" xfId="0" applyFont="1" applyBorder="1"/>
    <xf numFmtId="0" fontId="48" fillId="0" borderId="0" xfId="0" applyFont="1" applyBorder="1"/>
    <xf numFmtId="43" fontId="68" fillId="0" borderId="1" xfId="2" applyFont="1" applyBorder="1" applyAlignment="1"/>
    <xf numFmtId="0" fontId="48" fillId="0" borderId="0" xfId="0" applyFont="1" applyAlignment="1">
      <alignment horizontal="left" vertical="center"/>
    </xf>
    <xf numFmtId="43" fontId="68" fillId="0" borderId="1" xfId="2" applyFont="1" applyFill="1" applyBorder="1" applyAlignment="1">
      <alignment vertical="center"/>
    </xf>
    <xf numFmtId="0" fontId="48" fillId="0" borderId="2" xfId="0" applyFont="1" applyBorder="1"/>
    <xf numFmtId="0" fontId="48" fillId="0" borderId="3" xfId="0" applyFont="1" applyBorder="1"/>
    <xf numFmtId="0" fontId="68" fillId="0" borderId="2" xfId="0" applyFont="1" applyBorder="1" applyAlignment="1">
      <alignment horizontal="left"/>
    </xf>
    <xf numFmtId="0" fontId="48" fillId="0" borderId="3" xfId="0" applyFont="1" applyBorder="1" applyAlignment="1">
      <alignment horizontal="center"/>
    </xf>
    <xf numFmtId="0" fontId="48" fillId="0" borderId="4" xfId="0" applyFont="1" applyBorder="1"/>
    <xf numFmtId="0" fontId="48" fillId="0" borderId="0" xfId="0" applyFont="1" applyAlignment="1">
      <alignment vertical="top"/>
    </xf>
    <xf numFmtId="43" fontId="68" fillId="0" borderId="5" xfId="2" applyFont="1" applyBorder="1" applyAlignment="1">
      <alignment horizontal="left" vertical="center"/>
    </xf>
    <xf numFmtId="43" fontId="68" fillId="0" borderId="6" xfId="2" applyFont="1" applyBorder="1" applyAlignment="1">
      <alignment vertical="center"/>
    </xf>
    <xf numFmtId="187" fontId="68" fillId="0" borderId="6" xfId="2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87" fontId="48" fillId="0" borderId="0" xfId="0" applyNumberFormat="1" applyFont="1" applyAlignment="1">
      <alignment horizontal="center"/>
    </xf>
    <xf numFmtId="43" fontId="68" fillId="0" borderId="0" xfId="2" applyFont="1"/>
    <xf numFmtId="43" fontId="69" fillId="0" borderId="0" xfId="2" applyFont="1" applyFill="1"/>
    <xf numFmtId="0" fontId="69" fillId="0" borderId="0" xfId="0" applyFont="1" applyFill="1" applyAlignment="1">
      <alignment horizontal="center"/>
    </xf>
    <xf numFmtId="187" fontId="48" fillId="0" borderId="0" xfId="2" applyNumberFormat="1" applyFont="1" applyAlignment="1">
      <alignment horizontal="center"/>
    </xf>
    <xf numFmtId="17" fontId="48" fillId="0" borderId="0" xfId="0" applyNumberFormat="1" applyFont="1" applyFill="1" applyBorder="1" applyAlignment="1">
      <alignment horizontal="center"/>
    </xf>
    <xf numFmtId="43" fontId="48" fillId="0" borderId="0" xfId="2" applyFont="1" applyFill="1" applyBorder="1" applyAlignment="1">
      <alignment horizontal="center"/>
    </xf>
    <xf numFmtId="43" fontId="67" fillId="0" borderId="0" xfId="2" applyFont="1" applyFill="1" applyBorder="1" applyAlignment="1">
      <alignment horizontal="center"/>
    </xf>
    <xf numFmtId="43" fontId="67" fillId="0" borderId="0" xfId="2" applyFont="1" applyFill="1" applyBorder="1"/>
    <xf numFmtId="0" fontId="67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5" fillId="0" borderId="0" xfId="1" applyFont="1" applyFill="1" applyBorder="1"/>
    <xf numFmtId="0" fontId="70" fillId="2" borderId="9" xfId="0" applyFont="1" applyFill="1" applyBorder="1" applyAlignment="1">
      <alignment horizontal="center" vertical="center" wrapText="1" readingOrder="1"/>
    </xf>
    <xf numFmtId="0" fontId="70" fillId="2" borderId="10" xfId="0" applyFont="1" applyFill="1" applyBorder="1" applyAlignment="1">
      <alignment horizontal="center" vertical="center" wrapText="1" readingOrder="1"/>
    </xf>
    <xf numFmtId="0" fontId="70" fillId="0" borderId="13" xfId="0" applyFont="1" applyBorder="1" applyAlignment="1">
      <alignment horizontal="left" wrapText="1" readingOrder="1"/>
    </xf>
    <xf numFmtId="4" fontId="63" fillId="0" borderId="13" xfId="0" applyNumberFormat="1" applyFont="1" applyBorder="1"/>
    <xf numFmtId="4" fontId="63" fillId="3" borderId="13" xfId="0" applyNumberFormat="1" applyFont="1" applyFill="1" applyBorder="1" applyAlignment="1">
      <alignment horizontal="center" wrapText="1" readingOrder="1"/>
    </xf>
    <xf numFmtId="2" fontId="63" fillId="3" borderId="14" xfId="0" applyNumberFormat="1" applyFont="1" applyFill="1" applyBorder="1" applyAlignment="1">
      <alignment horizontal="center" wrapText="1" readingOrder="1"/>
    </xf>
    <xf numFmtId="0" fontId="63" fillId="0" borderId="12" xfId="0" applyFont="1" applyFill="1" applyBorder="1" applyAlignment="1">
      <alignment horizontal="center" wrapText="1" readingOrder="1"/>
    </xf>
    <xf numFmtId="0" fontId="63" fillId="0" borderId="13" xfId="0" applyFont="1" applyFill="1" applyBorder="1" applyAlignment="1">
      <alignment horizontal="center" wrapText="1" readingOrder="1"/>
    </xf>
    <xf numFmtId="4" fontId="65" fillId="0" borderId="13" xfId="0" applyNumberFormat="1" applyFont="1" applyBorder="1"/>
    <xf numFmtId="0" fontId="65" fillId="0" borderId="12" xfId="0" applyFont="1" applyFill="1" applyBorder="1" applyAlignment="1">
      <alignment horizontal="center" wrapText="1" readingOrder="1"/>
    </xf>
    <xf numFmtId="0" fontId="65" fillId="0" borderId="13" xfId="0" applyFont="1" applyFill="1" applyBorder="1" applyAlignment="1">
      <alignment horizontal="center" wrapText="1" readingOrder="1"/>
    </xf>
    <xf numFmtId="0" fontId="18" fillId="0" borderId="13" xfId="0" applyFont="1" applyFill="1" applyBorder="1" applyAlignment="1">
      <alignment horizontal="center" wrapText="1" readingOrder="1"/>
    </xf>
    <xf numFmtId="4" fontId="63" fillId="0" borderId="0" xfId="0" applyNumberFormat="1" applyFont="1"/>
    <xf numFmtId="0" fontId="49" fillId="0" borderId="0" xfId="0" applyFont="1" applyAlignment="1">
      <alignment horizontal="left"/>
    </xf>
    <xf numFmtId="0" fontId="19" fillId="0" borderId="13" xfId="0" applyFont="1" applyFill="1" applyBorder="1" applyAlignment="1">
      <alignment horizontal="center" wrapText="1" readingOrder="1"/>
    </xf>
    <xf numFmtId="0" fontId="20" fillId="0" borderId="0" xfId="1" applyFont="1" applyFill="1" applyBorder="1"/>
    <xf numFmtId="0" fontId="71" fillId="0" borderId="0" xfId="0" applyFont="1"/>
    <xf numFmtId="0" fontId="72" fillId="0" borderId="0" xfId="0" applyFont="1"/>
    <xf numFmtId="43" fontId="72" fillId="0" borderId="0" xfId="2" applyFont="1"/>
    <xf numFmtId="0" fontId="21" fillId="2" borderId="9" xfId="0" applyFont="1" applyFill="1" applyBorder="1" applyAlignment="1">
      <alignment horizontal="center" vertical="center" wrapText="1" readingOrder="1"/>
    </xf>
    <xf numFmtId="0" fontId="21" fillId="2" borderId="10" xfId="0" applyFont="1" applyFill="1" applyBorder="1" applyAlignment="1">
      <alignment horizontal="center" vertical="center" wrapText="1" readingOrder="1"/>
    </xf>
    <xf numFmtId="0" fontId="72" fillId="4" borderId="1" xfId="0" applyFont="1" applyFill="1" applyBorder="1" applyAlignment="1">
      <alignment vertical="center"/>
    </xf>
    <xf numFmtId="0" fontId="72" fillId="4" borderId="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wrapText="1" readingOrder="1"/>
    </xf>
    <xf numFmtId="0" fontId="19" fillId="0" borderId="13" xfId="0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3" borderId="13" xfId="0" applyNumberFormat="1" applyFont="1" applyFill="1" applyBorder="1" applyAlignment="1">
      <alignment horizontal="center" wrapText="1" readingOrder="1"/>
    </xf>
    <xf numFmtId="2" fontId="19" fillId="3" borderId="14" xfId="0" applyNumberFormat="1" applyFont="1" applyFill="1" applyBorder="1" applyAlignment="1">
      <alignment horizontal="center" wrapText="1" readingOrder="1"/>
    </xf>
    <xf numFmtId="0" fontId="19" fillId="0" borderId="12" xfId="0" applyFont="1" applyFill="1" applyBorder="1" applyAlignment="1">
      <alignment horizontal="center" wrapText="1" readingOrder="1"/>
    </xf>
    <xf numFmtId="0" fontId="71" fillId="5" borderId="1" xfId="0" applyFont="1" applyFill="1" applyBorder="1" applyAlignment="1">
      <alignment horizontal="center"/>
    </xf>
    <xf numFmtId="0" fontId="71" fillId="6" borderId="1" xfId="0" applyFont="1" applyFill="1" applyBorder="1" applyAlignment="1">
      <alignment horizontal="center"/>
    </xf>
    <xf numFmtId="0" fontId="71" fillId="7" borderId="1" xfId="0" applyFont="1" applyFill="1" applyBorder="1" applyAlignment="1">
      <alignment horizontal="center"/>
    </xf>
    <xf numFmtId="0" fontId="71" fillId="8" borderId="1" xfId="0" applyFont="1" applyFill="1" applyBorder="1" applyAlignment="1">
      <alignment horizontal="center"/>
    </xf>
    <xf numFmtId="0" fontId="71" fillId="9" borderId="1" xfId="0" applyFont="1" applyFill="1" applyBorder="1" applyAlignment="1">
      <alignment horizontal="center"/>
    </xf>
    <xf numFmtId="0" fontId="71" fillId="10" borderId="1" xfId="0" applyFont="1" applyFill="1" applyBorder="1" applyAlignment="1">
      <alignment horizontal="center"/>
    </xf>
    <xf numFmtId="0" fontId="71" fillId="11" borderId="1" xfId="0" applyFont="1" applyFill="1" applyBorder="1" applyAlignment="1">
      <alignment horizontal="center"/>
    </xf>
    <xf numFmtId="0" fontId="71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15" fillId="0" borderId="0" xfId="0" applyFont="1"/>
    <xf numFmtId="2" fontId="72" fillId="0" borderId="0" xfId="0" applyNumberFormat="1" applyFont="1"/>
    <xf numFmtId="17" fontId="23" fillId="0" borderId="0" xfId="0" applyNumberFormat="1" applyFont="1" applyBorder="1" applyAlignment="1">
      <alignment horizontal="center"/>
    </xf>
    <xf numFmtId="43" fontId="23" fillId="0" borderId="0" xfId="2" applyFont="1" applyFill="1" applyBorder="1"/>
    <xf numFmtId="43" fontId="23" fillId="0" borderId="0" xfId="2" applyFont="1"/>
    <xf numFmtId="43" fontId="22" fillId="0" borderId="0" xfId="2" applyFont="1" applyFill="1" applyBorder="1" applyAlignment="1">
      <alignment horizontal="center" vertical="center"/>
    </xf>
    <xf numFmtId="187" fontId="22" fillId="0" borderId="0" xfId="2" applyNumberFormat="1" applyFont="1" applyFill="1" applyBorder="1" applyAlignment="1">
      <alignment horizontal="center"/>
    </xf>
    <xf numFmtId="43" fontId="22" fillId="0" borderId="0" xfId="2" applyFont="1" applyFill="1" applyBorder="1" applyAlignment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Alignment="1">
      <alignment horizontal="left"/>
    </xf>
    <xf numFmtId="43" fontId="23" fillId="0" borderId="1" xfId="2" applyFont="1" applyFill="1" applyBorder="1" applyAlignment="1"/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0" fontId="23" fillId="0" borderId="0" xfId="0" applyFont="1" applyBorder="1"/>
    <xf numFmtId="43" fontId="23" fillId="0" borderId="1" xfId="2" applyFont="1" applyBorder="1" applyAlignment="1"/>
    <xf numFmtId="0" fontId="23" fillId="0" borderId="0" xfId="0" applyFont="1" applyAlignment="1">
      <alignment horizontal="left" vertical="center"/>
    </xf>
    <xf numFmtId="43" fontId="23" fillId="0" borderId="1" xfId="2" applyFont="1" applyFill="1" applyBorder="1" applyAlignment="1">
      <alignment vertical="center"/>
    </xf>
    <xf numFmtId="0" fontId="23" fillId="0" borderId="2" xfId="0" applyFont="1" applyBorder="1"/>
    <xf numFmtId="0" fontId="23" fillId="0" borderId="3" xfId="0" applyFont="1" applyBorder="1"/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3" fillId="0" borderId="4" xfId="0" applyFont="1" applyBorder="1"/>
    <xf numFmtId="0" fontId="22" fillId="0" borderId="0" xfId="0" applyFont="1" applyAlignment="1">
      <alignment vertical="top"/>
    </xf>
    <xf numFmtId="43" fontId="23" fillId="0" borderId="5" xfId="2" applyFont="1" applyBorder="1" applyAlignment="1">
      <alignment horizontal="left" vertical="center"/>
    </xf>
    <xf numFmtId="43" fontId="23" fillId="0" borderId="6" xfId="2" applyFont="1" applyBorder="1" applyAlignment="1">
      <alignment vertical="center"/>
    </xf>
    <xf numFmtId="187" fontId="22" fillId="0" borderId="6" xfId="2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left"/>
    </xf>
    <xf numFmtId="43" fontId="22" fillId="0" borderId="0" xfId="2" applyFont="1" applyFill="1"/>
    <xf numFmtId="0" fontId="22" fillId="0" borderId="0" xfId="0" applyFont="1" applyFill="1" applyAlignment="1">
      <alignment horizontal="center"/>
    </xf>
    <xf numFmtId="187" fontId="23" fillId="0" borderId="0" xfId="2" applyNumberFormat="1" applyFont="1" applyAlignment="1">
      <alignment horizontal="center"/>
    </xf>
    <xf numFmtId="17" fontId="23" fillId="0" borderId="0" xfId="0" applyNumberFormat="1" applyFont="1" applyFill="1" applyBorder="1" applyAlignment="1">
      <alignment horizontal="center"/>
    </xf>
    <xf numFmtId="43" fontId="23" fillId="0" borderId="0" xfId="2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15" fillId="0" borderId="0" xfId="0" applyNumberFormat="1" applyFont="1"/>
    <xf numFmtId="0" fontId="19" fillId="12" borderId="13" xfId="0" applyFont="1" applyFill="1" applyBorder="1" applyAlignment="1">
      <alignment horizontal="center" wrapText="1" readingOrder="1"/>
    </xf>
    <xf numFmtId="0" fontId="73" fillId="0" borderId="0" xfId="0" applyFont="1"/>
    <xf numFmtId="0" fontId="74" fillId="0" borderId="0" xfId="0" applyFont="1"/>
    <xf numFmtId="43" fontId="74" fillId="0" borderId="0" xfId="2" applyFont="1"/>
    <xf numFmtId="0" fontId="75" fillId="0" borderId="0" xfId="0" applyFont="1"/>
    <xf numFmtId="0" fontId="0" fillId="0" borderId="0" xfId="0" applyFont="1"/>
    <xf numFmtId="0" fontId="76" fillId="2" borderId="9" xfId="0" applyFont="1" applyFill="1" applyBorder="1" applyAlignment="1">
      <alignment horizontal="center" vertical="center" wrapText="1" readingOrder="1"/>
    </xf>
    <xf numFmtId="0" fontId="76" fillId="2" borderId="10" xfId="0" applyFont="1" applyFill="1" applyBorder="1" applyAlignment="1">
      <alignment horizontal="center" vertical="center" wrapText="1" readingOrder="1"/>
    </xf>
    <xf numFmtId="0" fontId="76" fillId="0" borderId="15" xfId="0" applyFont="1" applyBorder="1" applyAlignment="1">
      <alignment horizontal="left" wrapText="1" readingOrder="1"/>
    </xf>
    <xf numFmtId="0" fontId="48" fillId="0" borderId="16" xfId="0" applyFont="1" applyBorder="1" applyAlignment="1">
      <alignment horizontal="center" vertical="center"/>
    </xf>
    <xf numFmtId="2" fontId="48" fillId="0" borderId="17" xfId="0" applyNumberFormat="1" applyFont="1" applyFill="1" applyBorder="1" applyAlignment="1">
      <alignment horizontal="center"/>
    </xf>
    <xf numFmtId="2" fontId="48" fillId="0" borderId="17" xfId="0" applyNumberFormat="1" applyFont="1" applyFill="1" applyBorder="1" applyAlignment="1">
      <alignment horizontal="center" vertical="center"/>
    </xf>
    <xf numFmtId="4" fontId="48" fillId="0" borderId="17" xfId="0" applyNumberFormat="1" applyFont="1" applyBorder="1" applyAlignment="1">
      <alignment horizontal="center"/>
    </xf>
    <xf numFmtId="4" fontId="67" fillId="0" borderId="18" xfId="0" applyNumberFormat="1" applyFont="1" applyFill="1" applyBorder="1" applyAlignment="1">
      <alignment horizontal="center" vertical="center"/>
    </xf>
    <xf numFmtId="4" fontId="48" fillId="3" borderId="11" xfId="0" applyNumberFormat="1" applyFont="1" applyFill="1" applyBorder="1" applyAlignment="1">
      <alignment horizontal="center" wrapText="1" readingOrder="1"/>
    </xf>
    <xf numFmtId="2" fontId="48" fillId="3" borderId="11" xfId="0" applyNumberFormat="1" applyFont="1" applyFill="1" applyBorder="1" applyAlignment="1">
      <alignment horizontal="center" wrapText="1" readingOrder="1"/>
    </xf>
    <xf numFmtId="0" fontId="48" fillId="0" borderId="12" xfId="0" applyFont="1" applyFill="1" applyBorder="1" applyAlignment="1">
      <alignment horizontal="center" wrapText="1" readingOrder="1"/>
    </xf>
    <xf numFmtId="0" fontId="67" fillId="0" borderId="15" xfId="0" applyFont="1" applyFill="1" applyBorder="1" applyAlignment="1">
      <alignment horizontal="center" wrapText="1" readingOrder="1"/>
    </xf>
    <xf numFmtId="0" fontId="48" fillId="0" borderId="17" xfId="0" applyFont="1" applyBorder="1" applyAlignment="1">
      <alignment horizontal="center"/>
    </xf>
    <xf numFmtId="4" fontId="48" fillId="0" borderId="17" xfId="0" applyNumberFormat="1" applyFont="1" applyBorder="1" applyAlignment="1">
      <alignment horizontal="center" vertical="center"/>
    </xf>
    <xf numFmtId="4" fontId="67" fillId="0" borderId="18" xfId="0" applyNumberFormat="1" applyFont="1" applyBorder="1" applyAlignment="1">
      <alignment horizontal="center"/>
    </xf>
    <xf numFmtId="0" fontId="77" fillId="0" borderId="13" xfId="0" applyFont="1" applyFill="1" applyBorder="1" applyAlignment="1">
      <alignment horizontal="center" wrapText="1" readingOrder="1"/>
    </xf>
    <xf numFmtId="0" fontId="67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4" fontId="48" fillId="0" borderId="19" xfId="0" applyNumberFormat="1" applyFont="1" applyBorder="1" applyAlignment="1">
      <alignment horizontal="center"/>
    </xf>
    <xf numFmtId="4" fontId="67" fillId="0" borderId="20" xfId="0" applyNumberFormat="1" applyFont="1" applyBorder="1" applyAlignment="1">
      <alignment horizontal="center"/>
    </xf>
    <xf numFmtId="0" fontId="67" fillId="0" borderId="12" xfId="0" applyFont="1" applyFill="1" applyBorder="1" applyAlignment="1">
      <alignment horizontal="center" wrapText="1" readingOrder="1"/>
    </xf>
    <xf numFmtId="2" fontId="48" fillId="0" borderId="11" xfId="0" applyNumberFormat="1" applyFont="1" applyFill="1" applyBorder="1" applyAlignment="1">
      <alignment horizontal="center"/>
    </xf>
    <xf numFmtId="43" fontId="48" fillId="0" borderId="11" xfId="2" applyFont="1" applyFill="1" applyBorder="1" applyAlignment="1">
      <alignment horizontal="center" vertical="center" wrapText="1" readingOrder="1"/>
    </xf>
    <xf numFmtId="4" fontId="67" fillId="0" borderId="11" xfId="0" applyNumberFormat="1" applyFont="1" applyFill="1" applyBorder="1" applyAlignment="1">
      <alignment horizontal="center" vertical="center" wrapText="1" readingOrder="1"/>
    </xf>
    <xf numFmtId="4" fontId="48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/>
    </xf>
    <xf numFmtId="4" fontId="67" fillId="0" borderId="11" xfId="0" applyNumberFormat="1" applyFont="1" applyFill="1" applyBorder="1" applyAlignment="1">
      <alignment horizontal="center" vertical="center"/>
    </xf>
    <xf numFmtId="0" fontId="76" fillId="0" borderId="15" xfId="0" applyFont="1" applyBorder="1" applyAlignment="1">
      <alignment horizontal="right" wrapText="1" readingOrder="1"/>
    </xf>
    <xf numFmtId="2" fontId="48" fillId="0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/>
    </xf>
    <xf numFmtId="2" fontId="78" fillId="3" borderId="11" xfId="0" applyNumberFormat="1" applyFont="1" applyFill="1" applyBorder="1" applyAlignment="1">
      <alignment horizontal="center" wrapText="1" readingOrder="1"/>
    </xf>
    <xf numFmtId="0" fontId="48" fillId="0" borderId="15" xfId="0" applyFont="1" applyFill="1" applyBorder="1" applyAlignment="1">
      <alignment horizontal="center" wrapText="1" readingOrder="1"/>
    </xf>
    <xf numFmtId="2" fontId="67" fillId="0" borderId="1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2" fontId="48" fillId="0" borderId="11" xfId="0" applyNumberFormat="1" applyFont="1" applyFill="1" applyBorder="1" applyAlignment="1">
      <alignment horizontal="center" vertical="center" wrapText="1" readingOrder="1"/>
    </xf>
    <xf numFmtId="4" fontId="48" fillId="0" borderId="0" xfId="0" applyNumberFormat="1" applyFont="1" applyFill="1" applyAlignment="1">
      <alignment horizontal="center"/>
    </xf>
    <xf numFmtId="4" fontId="67" fillId="0" borderId="21" xfId="0" applyNumberFormat="1" applyFont="1" applyBorder="1" applyAlignment="1">
      <alignment horizontal="center"/>
    </xf>
    <xf numFmtId="0" fontId="67" fillId="0" borderId="21" xfId="0" applyFont="1" applyBorder="1" applyAlignment="1">
      <alignment horizontal="center" vertical="center"/>
    </xf>
    <xf numFmtId="2" fontId="0" fillId="0" borderId="0" xfId="0" applyNumberFormat="1" applyFont="1"/>
    <xf numFmtId="43" fontId="51" fillId="0" borderId="0" xfId="2" applyFont="1" applyFill="1" applyBorder="1" applyAlignment="1">
      <alignment horizontal="center" vertical="center"/>
    </xf>
    <xf numFmtId="187" fontId="51" fillId="0" borderId="0" xfId="2" applyNumberFormat="1" applyFont="1" applyFill="1" applyBorder="1" applyAlignment="1">
      <alignment horizontal="center"/>
    </xf>
    <xf numFmtId="43" fontId="51" fillId="0" borderId="0" xfId="2" applyFont="1" applyFill="1" applyBorder="1" applyAlignment="1"/>
    <xf numFmtId="0" fontId="49" fillId="0" borderId="0" xfId="0" applyFont="1" applyAlignment="1">
      <alignment vertical="top"/>
    </xf>
    <xf numFmtId="187" fontId="51" fillId="0" borderId="6" xfId="2" applyNumberFormat="1" applyFont="1" applyBorder="1" applyAlignment="1">
      <alignment horizontal="center" vertical="center"/>
    </xf>
    <xf numFmtId="43" fontId="79" fillId="0" borderId="0" xfId="2" applyFont="1" applyFill="1"/>
    <xf numFmtId="0" fontId="79" fillId="0" borderId="0" xfId="0" applyFont="1" applyFill="1" applyAlignment="1">
      <alignment horizontal="center"/>
    </xf>
    <xf numFmtId="0" fontId="80" fillId="0" borderId="0" xfId="0" applyFont="1"/>
    <xf numFmtId="0" fontId="81" fillId="0" borderId="0" xfId="0" applyFont="1"/>
    <xf numFmtId="43" fontId="81" fillId="0" borderId="0" xfId="2" applyFont="1"/>
    <xf numFmtId="0" fontId="82" fillId="0" borderId="0" xfId="0" applyFont="1"/>
    <xf numFmtId="0" fontId="58" fillId="2" borderId="1" xfId="0" applyFont="1" applyFill="1" applyBorder="1" applyAlignment="1">
      <alignment horizontal="center" vertical="center" wrapText="1" readingOrder="1"/>
    </xf>
    <xf numFmtId="0" fontId="58" fillId="0" borderId="1" xfId="0" applyFont="1" applyBorder="1" applyAlignment="1">
      <alignment horizontal="left" wrapText="1" readingOrder="1"/>
    </xf>
    <xf numFmtId="0" fontId="83" fillId="0" borderId="1" xfId="0" applyFont="1" applyBorder="1" applyAlignment="1">
      <alignment horizontal="center" vertical="center"/>
    </xf>
    <xf numFmtId="2" fontId="83" fillId="0" borderId="1" xfId="0" applyNumberFormat="1" applyFont="1" applyFill="1" applyBorder="1" applyAlignment="1">
      <alignment horizontal="center"/>
    </xf>
    <xf numFmtId="2" fontId="83" fillId="0" borderId="1" xfId="0" applyNumberFormat="1" applyFont="1" applyFill="1" applyBorder="1" applyAlignment="1">
      <alignment horizontal="center" vertical="center"/>
    </xf>
    <xf numFmtId="4" fontId="83" fillId="0" borderId="1" xfId="0" applyNumberFormat="1" applyFont="1" applyBorder="1" applyAlignment="1">
      <alignment horizontal="center"/>
    </xf>
    <xf numFmtId="4" fontId="84" fillId="0" borderId="1" xfId="0" applyNumberFormat="1" applyFont="1" applyFill="1" applyBorder="1" applyAlignment="1">
      <alignment horizontal="center" vertical="center"/>
    </xf>
    <xf numFmtId="4" fontId="83" fillId="3" borderId="1" xfId="0" applyNumberFormat="1" applyFont="1" applyFill="1" applyBorder="1" applyAlignment="1">
      <alignment horizontal="center" wrapText="1" readingOrder="1"/>
    </xf>
    <xf numFmtId="2" fontId="83" fillId="3" borderId="1" xfId="0" applyNumberFormat="1" applyFont="1" applyFill="1" applyBorder="1" applyAlignment="1">
      <alignment horizontal="center" wrapText="1" readingOrder="1"/>
    </xf>
    <xf numFmtId="0" fontId="83" fillId="0" borderId="1" xfId="0" applyFont="1" applyFill="1" applyBorder="1" applyAlignment="1">
      <alignment horizontal="center" wrapText="1" readingOrder="1"/>
    </xf>
    <xf numFmtId="0" fontId="84" fillId="0" borderId="1" xfId="0" applyFont="1" applyFill="1" applyBorder="1" applyAlignment="1">
      <alignment horizontal="center" wrapText="1" readingOrder="1"/>
    </xf>
    <xf numFmtId="0" fontId="0" fillId="0" borderId="1" xfId="0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4" fontId="83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/>
    </xf>
    <xf numFmtId="0" fontId="85" fillId="0" borderId="1" xfId="0" applyFont="1" applyFill="1" applyBorder="1" applyAlignment="1">
      <alignment horizontal="center" wrapText="1" readingOrder="1"/>
    </xf>
    <xf numFmtId="0" fontId="84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/>
    </xf>
    <xf numFmtId="4" fontId="84" fillId="0" borderId="1" xfId="0" applyNumberFormat="1" applyFont="1" applyBorder="1" applyAlignment="1">
      <alignment horizontal="center"/>
    </xf>
    <xf numFmtId="43" fontId="83" fillId="0" borderId="1" xfId="2" applyFont="1" applyFill="1" applyBorder="1" applyAlignment="1">
      <alignment horizontal="center" vertical="center" wrapText="1" readingOrder="1"/>
    </xf>
    <xf numFmtId="4" fontId="84" fillId="0" borderId="1" xfId="0" applyNumberFormat="1" applyFont="1" applyFill="1" applyBorder="1" applyAlignment="1">
      <alignment horizontal="center" vertical="center" wrapText="1" readingOrder="1"/>
    </xf>
    <xf numFmtId="4" fontId="83" fillId="0" borderId="1" xfId="0" applyNumberFormat="1" applyFont="1" applyFill="1" applyBorder="1" applyAlignment="1">
      <alignment horizontal="center" vertical="center"/>
    </xf>
    <xf numFmtId="4" fontId="84" fillId="0" borderId="1" xfId="0" applyNumberFormat="1" applyFont="1" applyFill="1" applyBorder="1" applyAlignment="1">
      <alignment horizontal="center"/>
    </xf>
    <xf numFmtId="2" fontId="84" fillId="0" borderId="1" xfId="0" applyNumberFormat="1" applyFont="1" applyFill="1" applyBorder="1" applyAlignment="1">
      <alignment horizontal="center"/>
    </xf>
    <xf numFmtId="4" fontId="83" fillId="0" borderId="1" xfId="0" applyNumberFormat="1" applyFont="1" applyFill="1" applyBorder="1" applyAlignment="1">
      <alignment horizontal="center"/>
    </xf>
    <xf numFmtId="2" fontId="84" fillId="0" borderId="1" xfId="0" applyNumberFormat="1" applyFont="1" applyFill="1" applyBorder="1" applyAlignment="1">
      <alignment horizontal="center" vertical="center"/>
    </xf>
    <xf numFmtId="2" fontId="83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Alignment="1">
      <alignment horizontal="left"/>
    </xf>
    <xf numFmtId="0" fontId="45" fillId="2" borderId="9" xfId="0" applyFont="1" applyFill="1" applyBorder="1" applyAlignment="1">
      <alignment horizontal="center" vertical="center" wrapText="1" readingOrder="1"/>
    </xf>
    <xf numFmtId="0" fontId="45" fillId="2" borderId="22" xfId="0" applyFont="1" applyFill="1" applyBorder="1" applyAlignment="1">
      <alignment horizontal="center" vertical="center" wrapText="1" readingOrder="1"/>
    </xf>
    <xf numFmtId="43" fontId="19" fillId="0" borderId="13" xfId="2" applyFont="1" applyBorder="1"/>
    <xf numFmtId="43" fontId="41" fillId="0" borderId="0" xfId="2" applyFont="1"/>
    <xf numFmtId="0" fontId="0" fillId="0" borderId="0" xfId="0" applyFill="1"/>
    <xf numFmtId="0" fontId="58" fillId="0" borderId="15" xfId="0" applyFont="1" applyBorder="1" applyAlignment="1">
      <alignment horizontal="left" wrapText="1" readingOrder="1"/>
    </xf>
    <xf numFmtId="0" fontId="86" fillId="0" borderId="16" xfId="0" applyFont="1" applyBorder="1" applyAlignment="1">
      <alignment horizontal="center" vertical="center"/>
    </xf>
    <xf numFmtId="2" fontId="86" fillId="0" borderId="17" xfId="0" applyNumberFormat="1" applyFont="1" applyFill="1" applyBorder="1" applyAlignment="1">
      <alignment horizontal="center"/>
    </xf>
    <xf numFmtId="2" fontId="86" fillId="0" borderId="17" xfId="0" applyNumberFormat="1" applyFont="1" applyFill="1" applyBorder="1" applyAlignment="1">
      <alignment horizontal="center" vertical="center"/>
    </xf>
    <xf numFmtId="4" fontId="86" fillId="0" borderId="17" xfId="0" applyNumberFormat="1" applyFont="1" applyBorder="1" applyAlignment="1">
      <alignment horizontal="center"/>
    </xf>
    <xf numFmtId="4" fontId="86" fillId="0" borderId="18" xfId="0" applyNumberFormat="1" applyFont="1" applyFill="1" applyBorder="1" applyAlignment="1">
      <alignment horizontal="center" vertical="center"/>
    </xf>
    <xf numFmtId="2" fontId="64" fillId="3" borderId="11" xfId="0" applyNumberFormat="1" applyFont="1" applyFill="1" applyBorder="1" applyAlignment="1">
      <alignment horizontal="center" wrapText="1" readingOrder="1"/>
    </xf>
    <xf numFmtId="0" fontId="46" fillId="3" borderId="13" xfId="0" applyFont="1" applyFill="1" applyBorder="1" applyAlignment="1">
      <alignment horizontal="center" wrapText="1" readingOrder="1"/>
    </xf>
    <xf numFmtId="0" fontId="86" fillId="0" borderId="13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4" fontId="86" fillId="0" borderId="17" xfId="0" applyNumberFormat="1" applyFont="1" applyBorder="1" applyAlignment="1">
      <alignment horizontal="center" vertical="center"/>
    </xf>
    <xf numFmtId="4" fontId="87" fillId="0" borderId="18" xfId="0" applyNumberFormat="1" applyFont="1" applyBorder="1" applyAlignment="1">
      <alignment horizontal="center"/>
    </xf>
    <xf numFmtId="0" fontId="88" fillId="0" borderId="13" xfId="0" applyFont="1" applyFill="1" applyBorder="1" applyAlignment="1">
      <alignment horizontal="center" wrapText="1" readingOrder="1"/>
    </xf>
    <xf numFmtId="0" fontId="88" fillId="3" borderId="13" xfId="0" applyFont="1" applyFill="1" applyBorder="1" applyAlignment="1">
      <alignment horizontal="center" wrapText="1" readingOrder="1"/>
    </xf>
    <xf numFmtId="0" fontId="89" fillId="0" borderId="19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/>
    </xf>
    <xf numFmtId="4" fontId="86" fillId="0" borderId="19" xfId="0" applyNumberFormat="1" applyFont="1" applyBorder="1" applyAlignment="1">
      <alignment horizontal="center"/>
    </xf>
    <xf numFmtId="4" fontId="87" fillId="0" borderId="20" xfId="0" applyNumberFormat="1" applyFont="1" applyBorder="1" applyAlignment="1">
      <alignment horizontal="center"/>
    </xf>
    <xf numFmtId="0" fontId="47" fillId="3" borderId="13" xfId="0" applyFont="1" applyFill="1" applyBorder="1" applyAlignment="1">
      <alignment horizontal="center" wrapText="1" readingOrder="1"/>
    </xf>
    <xf numFmtId="0" fontId="87" fillId="0" borderId="13" xfId="0" applyFont="1" applyBorder="1" applyAlignment="1">
      <alignment horizontal="center"/>
    </xf>
    <xf numFmtId="2" fontId="86" fillId="0" borderId="11" xfId="0" applyNumberFormat="1" applyFont="1" applyFill="1" applyBorder="1" applyAlignment="1">
      <alignment horizontal="center"/>
    </xf>
    <xf numFmtId="43" fontId="86" fillId="0" borderId="11" xfId="2" applyFont="1" applyFill="1" applyBorder="1" applyAlignment="1">
      <alignment horizontal="center" vertical="center" wrapText="1" readingOrder="1"/>
    </xf>
    <xf numFmtId="4" fontId="87" fillId="0" borderId="11" xfId="0" applyNumberFormat="1" applyFont="1" applyFill="1" applyBorder="1" applyAlignment="1">
      <alignment horizontal="center" vertical="center" wrapText="1" readingOrder="1"/>
    </xf>
    <xf numFmtId="0" fontId="86" fillId="0" borderId="0" xfId="0" applyFont="1" applyAlignment="1">
      <alignment horizontal="center"/>
    </xf>
    <xf numFmtId="4" fontId="86" fillId="0" borderId="11" xfId="0" applyNumberFormat="1" applyFont="1" applyFill="1" applyBorder="1" applyAlignment="1">
      <alignment horizontal="center" vertical="center"/>
    </xf>
    <xf numFmtId="4" fontId="87" fillId="0" borderId="11" xfId="0" applyNumberFormat="1" applyFont="1" applyFill="1" applyBorder="1" applyAlignment="1">
      <alignment horizontal="center"/>
    </xf>
    <xf numFmtId="2" fontId="89" fillId="0" borderId="11" xfId="0" applyNumberFormat="1" applyFont="1" applyFill="1" applyBorder="1" applyAlignment="1">
      <alignment horizontal="center"/>
    </xf>
    <xf numFmtId="4" fontId="87" fillId="0" borderId="11" xfId="0" applyNumberFormat="1" applyFont="1" applyFill="1" applyBorder="1" applyAlignment="1">
      <alignment horizontal="center" vertical="center"/>
    </xf>
    <xf numFmtId="2" fontId="86" fillId="0" borderId="11" xfId="0" applyNumberFormat="1" applyFont="1" applyFill="1" applyBorder="1" applyAlignment="1">
      <alignment horizontal="center" vertical="center"/>
    </xf>
    <xf numFmtId="4" fontId="86" fillId="0" borderId="11" xfId="0" applyNumberFormat="1" applyFont="1" applyFill="1" applyBorder="1" applyAlignment="1">
      <alignment horizontal="center"/>
    </xf>
    <xf numFmtId="2" fontId="89" fillId="0" borderId="11" xfId="0" applyNumberFormat="1" applyFont="1" applyFill="1" applyBorder="1" applyAlignment="1">
      <alignment horizontal="center" vertical="center"/>
    </xf>
    <xf numFmtId="2" fontId="86" fillId="0" borderId="11" xfId="0" applyNumberFormat="1" applyFont="1" applyFill="1" applyBorder="1" applyAlignment="1">
      <alignment horizontal="center" vertical="center" wrapText="1" readingOrder="1"/>
    </xf>
    <xf numFmtId="4" fontId="86" fillId="0" borderId="0" xfId="0" applyNumberFormat="1" applyFont="1" applyFill="1" applyAlignment="1">
      <alignment horizontal="center"/>
    </xf>
    <xf numFmtId="4" fontId="87" fillId="0" borderId="0" xfId="0" applyNumberFormat="1" applyFont="1" applyAlignment="1">
      <alignment horizontal="center"/>
    </xf>
    <xf numFmtId="0" fontId="89" fillId="0" borderId="21" xfId="0" applyFont="1" applyBorder="1" applyAlignment="1">
      <alignment horizontal="center" vertical="center"/>
    </xf>
    <xf numFmtId="0" fontId="55" fillId="0" borderId="0" xfId="0" applyFont="1"/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2" fontId="87" fillId="0" borderId="11" xfId="0" applyNumberFormat="1" applyFont="1" applyFill="1" applyBorder="1" applyAlignment="1">
      <alignment horizontal="center"/>
    </xf>
    <xf numFmtId="2" fontId="87" fillId="0" borderId="11" xfId="0" applyNumberFormat="1" applyFont="1" applyFill="1" applyBorder="1" applyAlignment="1">
      <alignment horizontal="center" vertical="center"/>
    </xf>
    <xf numFmtId="4" fontId="87" fillId="0" borderId="21" xfId="0" applyNumberFormat="1" applyFont="1" applyBorder="1" applyAlignment="1">
      <alignment horizontal="center"/>
    </xf>
    <xf numFmtId="0" fontId="87" fillId="0" borderId="21" xfId="0" applyFont="1" applyBorder="1" applyAlignment="1">
      <alignment horizontal="center" vertical="center"/>
    </xf>
    <xf numFmtId="0" fontId="90" fillId="2" borderId="9" xfId="0" applyFont="1" applyFill="1" applyBorder="1" applyAlignment="1">
      <alignment horizontal="center" vertical="center" wrapText="1" readingOrder="1"/>
    </xf>
    <xf numFmtId="0" fontId="90" fillId="2" borderId="22" xfId="0" applyFont="1" applyFill="1" applyBorder="1" applyAlignment="1">
      <alignment horizontal="center" vertical="center" wrapText="1" readingOrder="1"/>
    </xf>
    <xf numFmtId="0" fontId="90" fillId="2" borderId="23" xfId="0" applyFont="1" applyFill="1" applyBorder="1" applyAlignment="1">
      <alignment horizontal="center" vertical="center" wrapText="1" readingOrder="1"/>
    </xf>
    <xf numFmtId="0" fontId="91" fillId="2" borderId="9" xfId="0" applyFont="1" applyFill="1" applyBorder="1" applyAlignment="1">
      <alignment horizontal="center" vertical="center" wrapText="1" readingOrder="1"/>
    </xf>
    <xf numFmtId="0" fontId="91" fillId="2" borderId="23" xfId="0" applyFont="1" applyFill="1" applyBorder="1" applyAlignment="1">
      <alignment horizontal="center" vertical="center" wrapText="1" readingOrder="1"/>
    </xf>
    <xf numFmtId="0" fontId="92" fillId="0" borderId="13" xfId="0" applyFont="1" applyBorder="1" applyAlignment="1">
      <alignment horizontal="left" wrapText="1" readingOrder="1"/>
    </xf>
    <xf numFmtId="0" fontId="93" fillId="0" borderId="24" xfId="0" applyFont="1" applyBorder="1" applyAlignment="1">
      <alignment horizontal="center" wrapText="1" readingOrder="1"/>
    </xf>
    <xf numFmtId="0" fontId="93" fillId="0" borderId="25" xfId="0" applyFont="1" applyBorder="1" applyAlignment="1">
      <alignment horizontal="center" wrapText="1" readingOrder="1"/>
    </xf>
    <xf numFmtId="0" fontId="93" fillId="0" borderId="26" xfId="0" applyFont="1" applyBorder="1" applyAlignment="1">
      <alignment horizontal="center" vertical="center" wrapText="1" readingOrder="1"/>
    </xf>
    <xf numFmtId="4" fontId="93" fillId="0" borderId="26" xfId="0" applyNumberFormat="1" applyFont="1" applyBorder="1" applyAlignment="1">
      <alignment horizontal="center" vertical="center" wrapText="1" readingOrder="1"/>
    </xf>
    <xf numFmtId="4" fontId="93" fillId="13" borderId="26" xfId="0" applyNumberFormat="1" applyFont="1" applyFill="1" applyBorder="1" applyAlignment="1">
      <alignment horizontal="center" wrapText="1" readingOrder="1"/>
    </xf>
    <xf numFmtId="0" fontId="94" fillId="13" borderId="26" xfId="0" applyFont="1" applyFill="1" applyBorder="1" applyAlignment="1">
      <alignment horizontal="center" wrapText="1" readingOrder="1"/>
    </xf>
    <xf numFmtId="0" fontId="93" fillId="0" borderId="27" xfId="0" applyFont="1" applyBorder="1" applyAlignment="1">
      <alignment horizontal="center" wrapText="1" readingOrder="1"/>
    </xf>
    <xf numFmtId="0" fontId="93" fillId="0" borderId="13" xfId="0" applyFont="1" applyBorder="1" applyAlignment="1">
      <alignment horizontal="center" wrapText="1" readingOrder="1"/>
    </xf>
    <xf numFmtId="0" fontId="93" fillId="13" borderId="13" xfId="0" applyFont="1" applyFill="1" applyBorder="1" applyAlignment="1">
      <alignment horizontal="center" wrapText="1" readingOrder="1"/>
    </xf>
    <xf numFmtId="0" fontId="92" fillId="0" borderId="28" xfId="0" applyFont="1" applyBorder="1" applyAlignment="1">
      <alignment horizontal="left" wrapText="1" readingOrder="1"/>
    </xf>
    <xf numFmtId="4" fontId="93" fillId="0" borderId="26" xfId="0" applyNumberFormat="1" applyFont="1" applyBorder="1" applyAlignment="1">
      <alignment horizontal="center" wrapText="1" readingOrder="1"/>
    </xf>
    <xf numFmtId="0" fontId="84" fillId="0" borderId="26" xfId="0" applyFont="1" applyBorder="1" applyAlignment="1">
      <alignment horizontal="center" wrapText="1" readingOrder="1"/>
    </xf>
    <xf numFmtId="0" fontId="84" fillId="0" borderId="27" xfId="0" applyFont="1" applyBorder="1" applyAlignment="1">
      <alignment horizontal="center" wrapText="1" readingOrder="1"/>
    </xf>
    <xf numFmtId="0" fontId="84" fillId="13" borderId="13" xfId="0" applyFont="1" applyFill="1" applyBorder="1" applyAlignment="1">
      <alignment horizontal="center" wrapText="1" readingOrder="1"/>
    </xf>
    <xf numFmtId="0" fontId="93" fillId="0" borderId="26" xfId="0" applyFont="1" applyBorder="1" applyAlignment="1">
      <alignment horizontal="center" wrapText="1" readingOrder="1"/>
    </xf>
    <xf numFmtId="4" fontId="84" fillId="0" borderId="26" xfId="0" applyNumberFormat="1" applyFont="1" applyBorder="1" applyAlignment="1">
      <alignment horizontal="center" vertical="center" wrapText="1" readingOrder="1"/>
    </xf>
    <xf numFmtId="4" fontId="84" fillId="13" borderId="26" xfId="0" applyNumberFormat="1" applyFont="1" applyFill="1" applyBorder="1" applyAlignment="1">
      <alignment horizontal="center" wrapText="1" readingOrder="1"/>
    </xf>
    <xf numFmtId="0" fontId="93" fillId="13" borderId="26" xfId="0" applyFont="1" applyFill="1" applyBorder="1" applyAlignment="1">
      <alignment horizontal="center" wrapText="1" readingOrder="1"/>
    </xf>
    <xf numFmtId="0" fontId="84" fillId="0" borderId="13" xfId="0" applyFont="1" applyBorder="1" applyAlignment="1">
      <alignment horizontal="center" wrapText="1" readingOrder="1"/>
    </xf>
    <xf numFmtId="0" fontId="95" fillId="13" borderId="26" xfId="0" applyFont="1" applyFill="1" applyBorder="1" applyAlignment="1">
      <alignment horizontal="center" wrapText="1" readingOrder="1"/>
    </xf>
    <xf numFmtId="0" fontId="96" fillId="0" borderId="28" xfId="0" applyFont="1" applyBorder="1" applyAlignment="1">
      <alignment horizontal="left" wrapText="1" readingOrder="1"/>
    </xf>
    <xf numFmtId="0" fontId="84" fillId="0" borderId="26" xfId="0" applyFont="1" applyBorder="1" applyAlignment="1">
      <alignment horizontal="center" vertical="center" wrapText="1" readingOrder="1"/>
    </xf>
    <xf numFmtId="4" fontId="84" fillId="0" borderId="26" xfId="0" applyNumberFormat="1" applyFont="1" applyBorder="1" applyAlignment="1">
      <alignment horizontal="center" wrapText="1" readingOrder="1"/>
    </xf>
    <xf numFmtId="4" fontId="93" fillId="0" borderId="29" xfId="0" applyNumberFormat="1" applyFont="1" applyBorder="1" applyAlignment="1">
      <alignment horizontal="center" wrapText="1" readingOrder="1"/>
    </xf>
    <xf numFmtId="4" fontId="93" fillId="0" borderId="30" xfId="0" applyNumberFormat="1" applyFont="1" applyBorder="1" applyAlignment="1">
      <alignment horizontal="center" wrapText="1" readingOrder="1"/>
    </xf>
    <xf numFmtId="17" fontId="0" fillId="0" borderId="0" xfId="0" applyNumberFormat="1"/>
    <xf numFmtId="2" fontId="21" fillId="0" borderId="31" xfId="0" applyNumberFormat="1" applyFont="1" applyBorder="1" applyAlignment="1">
      <alignment horizontal="center" vertical="center" wrapText="1" readingOrder="1"/>
    </xf>
    <xf numFmtId="2" fontId="21" fillId="0" borderId="31" xfId="0" applyNumberFormat="1" applyFont="1" applyBorder="1" applyAlignment="1">
      <alignment horizontal="center" vertical="center"/>
    </xf>
    <xf numFmtId="4" fontId="21" fillId="0" borderId="31" xfId="0" applyNumberFormat="1" applyFont="1" applyBorder="1"/>
    <xf numFmtId="4" fontId="97" fillId="0" borderId="31" xfId="0" applyNumberFormat="1" applyFont="1" applyBorder="1"/>
    <xf numFmtId="4" fontId="98" fillId="3" borderId="12" xfId="0" applyNumberFormat="1" applyFont="1" applyFill="1" applyBorder="1" applyAlignment="1">
      <alignment horizontal="right" wrapText="1" readingOrder="1"/>
    </xf>
    <xf numFmtId="2" fontId="98" fillId="3" borderId="13" xfId="0" applyNumberFormat="1" applyFont="1" applyFill="1" applyBorder="1" applyAlignment="1">
      <alignment horizontal="right" wrapText="1" readingOrder="1"/>
    </xf>
    <xf numFmtId="0" fontId="98" fillId="0" borderId="13" xfId="0" applyFont="1" applyFill="1" applyBorder="1" applyAlignment="1">
      <alignment horizontal="center" wrapText="1" readingOrder="1"/>
    </xf>
    <xf numFmtId="0" fontId="97" fillId="0" borderId="13" xfId="0" applyFont="1" applyFill="1" applyBorder="1" applyAlignment="1">
      <alignment horizontal="center" wrapText="1" readingOrder="1"/>
    </xf>
    <xf numFmtId="0" fontId="97" fillId="3" borderId="13" xfId="0" applyFont="1" applyFill="1" applyBorder="1" applyAlignment="1">
      <alignment horizontal="center" wrapText="1" readingOrder="1"/>
    </xf>
    <xf numFmtId="0" fontId="58" fillId="3" borderId="13" xfId="0" applyFont="1" applyFill="1" applyBorder="1" applyAlignment="1">
      <alignment horizontal="center" wrapText="1" readingOrder="1"/>
    </xf>
    <xf numFmtId="2" fontId="97" fillId="0" borderId="31" xfId="0" applyNumberFormat="1" applyFont="1" applyBorder="1" applyAlignment="1">
      <alignment horizontal="center" vertical="center"/>
    </xf>
    <xf numFmtId="0" fontId="43" fillId="0" borderId="0" xfId="0" applyFont="1"/>
    <xf numFmtId="2" fontId="21" fillId="0" borderId="31" xfId="0" applyNumberFormat="1" applyFont="1" applyFill="1" applyBorder="1" applyAlignment="1">
      <alignment horizontal="center" vertical="center" wrapText="1" readingOrder="1"/>
    </xf>
    <xf numFmtId="43" fontId="21" fillId="0" borderId="31" xfId="2" applyFont="1" applyBorder="1" applyAlignment="1">
      <alignment horizontal="right" wrapText="1" readingOrder="1"/>
    </xf>
    <xf numFmtId="4" fontId="21" fillId="0" borderId="31" xfId="0" applyNumberFormat="1" applyFont="1" applyBorder="1" applyAlignment="1">
      <alignment horizontal="right" wrapText="1" readingOrder="1"/>
    </xf>
    <xf numFmtId="4" fontId="21" fillId="0" borderId="31" xfId="0" applyNumberFormat="1" applyFont="1" applyBorder="1" applyAlignment="1">
      <alignment vertical="center"/>
    </xf>
    <xf numFmtId="2" fontId="97" fillId="0" borderId="31" xfId="0" applyNumberFormat="1" applyFont="1" applyFill="1" applyBorder="1" applyAlignment="1">
      <alignment horizontal="center" vertical="center" wrapText="1" readingOrder="1"/>
    </xf>
    <xf numFmtId="4" fontId="98" fillId="0" borderId="31" xfId="0" applyNumberFormat="1" applyFont="1" applyBorder="1" applyAlignment="1">
      <alignment horizontal="right"/>
    </xf>
    <xf numFmtId="4" fontId="21" fillId="0" borderId="31" xfId="0" applyNumberFormat="1" applyFont="1" applyBorder="1" applyAlignment="1">
      <alignment horizontal="right"/>
    </xf>
    <xf numFmtId="0" fontId="21" fillId="0" borderId="13" xfId="0" applyFont="1" applyFill="1" applyBorder="1" applyAlignment="1">
      <alignment horizontal="center" wrapText="1" readingOrder="1"/>
    </xf>
    <xf numFmtId="4" fontId="97" fillId="0" borderId="31" xfId="0" applyNumberFormat="1" applyFont="1" applyBorder="1" applyAlignment="1">
      <alignment vertical="center"/>
    </xf>
    <xf numFmtId="0" fontId="99" fillId="0" borderId="0" xfId="0" applyFont="1" applyAlignment="1">
      <alignment horizontal="center"/>
    </xf>
    <xf numFmtId="43" fontId="99" fillId="0" borderId="0" xfId="2" applyFont="1"/>
    <xf numFmtId="187" fontId="99" fillId="0" borderId="0" xfId="2" applyNumberFormat="1" applyFont="1" applyAlignment="1">
      <alignment horizontal="center"/>
    </xf>
    <xf numFmtId="0" fontId="100" fillId="0" borderId="0" xfId="0" applyFont="1"/>
    <xf numFmtId="17" fontId="92" fillId="0" borderId="32" xfId="0" applyNumberFormat="1" applyFont="1" applyBorder="1" applyAlignment="1">
      <alignment horizontal="center" wrapText="1" readingOrder="1"/>
    </xf>
    <xf numFmtId="0" fontId="101" fillId="0" borderId="32" xfId="0" applyFont="1" applyBorder="1" applyAlignment="1">
      <alignment horizontal="left" wrapText="1" readingOrder="1"/>
    </xf>
    <xf numFmtId="0" fontId="101" fillId="14" borderId="32" xfId="0" applyFont="1" applyFill="1" applyBorder="1" applyAlignment="1">
      <alignment horizontal="center" wrapText="1" readingOrder="1"/>
    </xf>
    <xf numFmtId="0" fontId="101" fillId="15" borderId="32" xfId="0" applyFont="1" applyFill="1" applyBorder="1" applyAlignment="1">
      <alignment horizontal="center" wrapText="1" readingOrder="1"/>
    </xf>
    <xf numFmtId="0" fontId="101" fillId="16" borderId="32" xfId="0" applyFont="1" applyFill="1" applyBorder="1" applyAlignment="1">
      <alignment horizontal="center" wrapText="1" readingOrder="1"/>
    </xf>
    <xf numFmtId="0" fontId="101" fillId="17" borderId="32" xfId="0" applyFont="1" applyFill="1" applyBorder="1" applyAlignment="1">
      <alignment horizontal="center" wrapText="1" readingOrder="1"/>
    </xf>
    <xf numFmtId="0" fontId="101" fillId="17" borderId="32" xfId="0" applyFont="1" applyFill="1" applyBorder="1" applyAlignment="1">
      <alignment horizontal="center" vertical="center" wrapText="1" readingOrder="1"/>
    </xf>
    <xf numFmtId="0" fontId="93" fillId="18" borderId="32" xfId="0" applyFont="1" applyFill="1" applyBorder="1" applyAlignment="1">
      <alignment horizontal="center" wrapText="1" readingOrder="1"/>
    </xf>
    <xf numFmtId="0" fontId="102" fillId="0" borderId="32" xfId="0" applyFont="1" applyBorder="1" applyAlignment="1">
      <alignment horizontal="left" wrapText="1" readingOrder="1"/>
    </xf>
    <xf numFmtId="0" fontId="101" fillId="19" borderId="32" xfId="0" applyFont="1" applyFill="1" applyBorder="1" applyAlignment="1">
      <alignment horizontal="center" wrapText="1" readingOrder="1"/>
    </xf>
    <xf numFmtId="0" fontId="101" fillId="20" borderId="32" xfId="0" applyFont="1" applyFill="1" applyBorder="1" applyAlignment="1">
      <alignment horizontal="center" wrapText="1" readingOrder="1"/>
    </xf>
    <xf numFmtId="0" fontId="93" fillId="16" borderId="32" xfId="0" applyFont="1" applyFill="1" applyBorder="1" applyAlignment="1">
      <alignment horizontal="center" wrapText="1" readingOrder="1"/>
    </xf>
    <xf numFmtId="0" fontId="101" fillId="21" borderId="32" xfId="0" applyFont="1" applyFill="1" applyBorder="1" applyAlignment="1">
      <alignment horizontal="center" wrapText="1" readingOrder="1"/>
    </xf>
    <xf numFmtId="0" fontId="93" fillId="21" borderId="32" xfId="0" applyFont="1" applyFill="1" applyBorder="1" applyAlignment="1">
      <alignment horizontal="center" wrapText="1" readingOrder="1"/>
    </xf>
    <xf numFmtId="0" fontId="92" fillId="22" borderId="32" xfId="0" applyFont="1" applyFill="1" applyBorder="1" applyAlignment="1">
      <alignment horizontal="center" wrapText="1" readingOrder="1"/>
    </xf>
    <xf numFmtId="0" fontId="93" fillId="14" borderId="32" xfId="0" applyFont="1" applyFill="1" applyBorder="1" applyAlignment="1">
      <alignment horizontal="center" wrapText="1" readingOrder="1"/>
    </xf>
    <xf numFmtId="0" fontId="93" fillId="23" borderId="32" xfId="0" applyFont="1" applyFill="1" applyBorder="1" applyAlignment="1">
      <alignment horizontal="center" wrapText="1" readingOrder="1"/>
    </xf>
    <xf numFmtId="0" fontId="93" fillId="20" borderId="32" xfId="0" applyFont="1" applyFill="1" applyBorder="1" applyAlignment="1">
      <alignment horizontal="center" wrapText="1" readingOrder="1"/>
    </xf>
    <xf numFmtId="0" fontId="93" fillId="22" borderId="32" xfId="0" applyFont="1" applyFill="1" applyBorder="1" applyAlignment="1">
      <alignment horizontal="center" wrapText="1" readingOrder="1"/>
    </xf>
    <xf numFmtId="0" fontId="93" fillId="24" borderId="32" xfId="0" applyFont="1" applyFill="1" applyBorder="1" applyAlignment="1">
      <alignment horizontal="center" wrapText="1" readingOrder="1"/>
    </xf>
    <xf numFmtId="0" fontId="101" fillId="24" borderId="32" xfId="0" applyFont="1" applyFill="1" applyBorder="1" applyAlignment="1">
      <alignment horizontal="center" wrapText="1" readingOrder="1"/>
    </xf>
    <xf numFmtId="0" fontId="93" fillId="0" borderId="1" xfId="0" applyFont="1" applyBorder="1" applyAlignment="1">
      <alignment horizontal="center" wrapText="1" readingOrder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wrapText="1" readingOrder="1"/>
    </xf>
    <xf numFmtId="17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9" fillId="25" borderId="1" xfId="0" applyFont="1" applyFill="1" applyBorder="1" applyAlignment="1">
      <alignment horizontal="center" wrapText="1" readingOrder="1"/>
    </xf>
    <xf numFmtId="0" fontId="19" fillId="12" borderId="1" xfId="0" applyFont="1" applyFill="1" applyBorder="1" applyAlignment="1">
      <alignment horizontal="center" wrapText="1" readingOrder="1"/>
    </xf>
    <xf numFmtId="0" fontId="19" fillId="12" borderId="1" xfId="0" applyFont="1" applyFill="1" applyBorder="1" applyAlignment="1">
      <alignment horizontal="center"/>
    </xf>
    <xf numFmtId="0" fontId="19" fillId="26" borderId="1" xfId="0" applyFont="1" applyFill="1" applyBorder="1" applyAlignment="1">
      <alignment horizontal="center" wrapText="1" readingOrder="1"/>
    </xf>
    <xf numFmtId="0" fontId="19" fillId="26" borderId="1" xfId="0" applyFont="1" applyFill="1" applyBorder="1" applyAlignment="1">
      <alignment horizontal="center"/>
    </xf>
    <xf numFmtId="0" fontId="19" fillId="27" borderId="1" xfId="0" applyFont="1" applyFill="1" applyBorder="1" applyAlignment="1">
      <alignment horizontal="center" wrapText="1" readingOrder="1"/>
    </xf>
    <xf numFmtId="0" fontId="19" fillId="27" borderId="1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 wrapText="1" readingOrder="1"/>
    </xf>
    <xf numFmtId="0" fontId="19" fillId="28" borderId="1" xfId="0" applyFont="1" applyFill="1" applyBorder="1" applyAlignment="1">
      <alignment horizontal="center" wrapText="1" readingOrder="1"/>
    </xf>
    <xf numFmtId="0" fontId="19" fillId="22" borderId="1" xfId="0" applyFont="1" applyFill="1" applyBorder="1" applyAlignment="1">
      <alignment horizontal="center" wrapText="1" readingOrder="1"/>
    </xf>
    <xf numFmtId="0" fontId="19" fillId="29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/>
    </xf>
    <xf numFmtId="17" fontId="19" fillId="2" borderId="1" xfId="0" applyNumberFormat="1" applyFont="1" applyFill="1" applyBorder="1" applyAlignment="1">
      <alignment horizontal="center"/>
    </xf>
    <xf numFmtId="2" fontId="23" fillId="0" borderId="0" xfId="0" applyNumberFormat="1" applyFont="1"/>
    <xf numFmtId="43" fontId="23" fillId="0" borderId="0" xfId="2" applyFont="1" applyFill="1" applyBorder="1" applyAlignment="1">
      <alignment horizontal="center" vertical="center"/>
    </xf>
    <xf numFmtId="187" fontId="23" fillId="0" borderId="0" xfId="2" applyNumberFormat="1" applyFont="1" applyFill="1" applyBorder="1" applyAlignment="1">
      <alignment horizontal="center"/>
    </xf>
    <xf numFmtId="43" fontId="23" fillId="0" borderId="7" xfId="2" applyFont="1" applyBorder="1" applyAlignment="1"/>
    <xf numFmtId="43" fontId="23" fillId="0" borderId="7" xfId="2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43" fontId="23" fillId="0" borderId="6" xfId="2" applyFont="1" applyBorder="1" applyAlignment="1">
      <alignment horizontal="left" vertical="center"/>
    </xf>
    <xf numFmtId="187" fontId="23" fillId="0" borderId="6" xfId="2" applyNumberFormat="1" applyFont="1" applyBorder="1" applyAlignment="1">
      <alignment horizontal="center" vertical="center"/>
    </xf>
    <xf numFmtId="43" fontId="23" fillId="0" borderId="0" xfId="2" applyFont="1" applyFill="1"/>
    <xf numFmtId="4" fontId="23" fillId="0" borderId="0" xfId="0" applyNumberFormat="1" applyFont="1" applyBorder="1"/>
    <xf numFmtId="2" fontId="23" fillId="0" borderId="0" xfId="0" applyNumberFormat="1" applyFont="1" applyBorder="1"/>
    <xf numFmtId="0" fontId="28" fillId="0" borderId="1" xfId="0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left" wrapText="1" readingOrder="1"/>
    </xf>
    <xf numFmtId="0" fontId="28" fillId="0" borderId="1" xfId="0" applyFont="1" applyFill="1" applyBorder="1" applyAlignment="1">
      <alignment horizontal="center" wrapText="1" readingOrder="1"/>
    </xf>
    <xf numFmtId="4" fontId="28" fillId="0" borderId="1" xfId="0" applyNumberFormat="1" applyFont="1" applyFill="1" applyBorder="1" applyAlignment="1">
      <alignment horizontal="center" wrapText="1" readingOrder="1"/>
    </xf>
    <xf numFmtId="0" fontId="28" fillId="0" borderId="1" xfId="0" applyFont="1" applyFill="1" applyBorder="1" applyAlignment="1">
      <alignment horizontal="left" vertical="center" wrapText="1" readingOrder="1"/>
    </xf>
    <xf numFmtId="4" fontId="28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Border="1"/>
    <xf numFmtId="4" fontId="28" fillId="0" borderId="1" xfId="0" applyNumberFormat="1" applyFont="1" applyBorder="1"/>
    <xf numFmtId="2" fontId="28" fillId="0" borderId="1" xfId="0" applyNumberFormat="1" applyFont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 vertical="center" wrapText="1" readingOrder="1"/>
    </xf>
    <xf numFmtId="4" fontId="28" fillId="0" borderId="1" xfId="0" applyNumberFormat="1" applyFont="1" applyFill="1" applyBorder="1" applyAlignment="1">
      <alignment horizontal="right" wrapText="1" readingOrder="1"/>
    </xf>
    <xf numFmtId="0" fontId="28" fillId="0" borderId="0" xfId="0" applyFont="1" applyFill="1" applyBorder="1" applyAlignment="1">
      <alignment horizontal="left" wrapText="1" readingOrder="1"/>
    </xf>
    <xf numFmtId="0" fontId="28" fillId="0" borderId="0" xfId="0" applyFont="1" applyFill="1" applyBorder="1" applyAlignment="1">
      <alignment horizontal="center" wrapText="1" readingOrder="1"/>
    </xf>
    <xf numFmtId="4" fontId="28" fillId="0" borderId="0" xfId="0" applyNumberFormat="1" applyFont="1" applyFill="1" applyBorder="1" applyAlignment="1">
      <alignment horizontal="right" wrapText="1" readingOrder="1"/>
    </xf>
    <xf numFmtId="4" fontId="28" fillId="0" borderId="0" xfId="0" applyNumberFormat="1" applyFont="1" applyFill="1" applyBorder="1" applyAlignment="1">
      <alignment horizontal="center" wrapText="1" readingOrder="1"/>
    </xf>
    <xf numFmtId="0" fontId="28" fillId="0" borderId="1" xfId="0" applyFont="1" applyFill="1" applyBorder="1" applyAlignment="1">
      <alignment horizontal="right" wrapText="1" readingOrder="1"/>
    </xf>
    <xf numFmtId="0" fontId="28" fillId="0" borderId="1" xfId="0" applyFont="1" applyFill="1" applyBorder="1"/>
    <xf numFmtId="4" fontId="28" fillId="0" borderId="1" xfId="0" applyNumberFormat="1" applyFont="1" applyFill="1" applyBorder="1"/>
    <xf numFmtId="2" fontId="28" fillId="0" borderId="1" xfId="0" applyNumberFormat="1" applyFont="1" applyFill="1" applyBorder="1"/>
    <xf numFmtId="4" fontId="28" fillId="0" borderId="0" xfId="0" applyNumberFormat="1" applyFont="1" applyFill="1" applyBorder="1"/>
    <xf numFmtId="2" fontId="28" fillId="0" borderId="0" xfId="0" applyNumberFormat="1" applyFont="1" applyFill="1" applyBorder="1"/>
    <xf numFmtId="17" fontId="28" fillId="0" borderId="0" xfId="0" applyNumberFormat="1" applyFont="1" applyFill="1" applyBorder="1" applyAlignment="1">
      <alignment horizontal="center"/>
    </xf>
    <xf numFmtId="43" fontId="28" fillId="0" borderId="0" xfId="2" applyFont="1" applyFill="1" applyBorder="1"/>
    <xf numFmtId="43" fontId="28" fillId="0" borderId="0" xfId="2" applyFont="1" applyFill="1" applyBorder="1" applyAlignment="1">
      <alignment horizontal="center" vertical="center"/>
    </xf>
    <xf numFmtId="187" fontId="28" fillId="0" borderId="0" xfId="2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43" fontId="28" fillId="0" borderId="0" xfId="2" applyFont="1" applyFill="1" applyBorder="1" applyAlignment="1"/>
    <xf numFmtId="0" fontId="28" fillId="0" borderId="0" xfId="0" applyFont="1" applyFill="1" applyBorder="1" applyAlignment="1">
      <alignment horizontal="left" vertical="center"/>
    </xf>
    <xf numFmtId="43" fontId="28" fillId="0" borderId="0" xfId="2" applyFont="1" applyFill="1" applyBorder="1" applyAlignment="1">
      <alignment vertical="center"/>
    </xf>
    <xf numFmtId="0" fontId="28" fillId="0" borderId="0" xfId="0" applyFont="1" applyFill="1" applyBorder="1" applyAlignment="1">
      <alignment vertical="top"/>
    </xf>
    <xf numFmtId="43" fontId="28" fillId="0" borderId="0" xfId="2" applyFont="1" applyFill="1" applyBorder="1" applyAlignment="1">
      <alignment horizontal="left" vertical="center"/>
    </xf>
    <xf numFmtId="187" fontId="28" fillId="0" borderId="0" xfId="2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187" fontId="28" fillId="0" borderId="0" xfId="0" applyNumberFormat="1" applyFont="1" applyFill="1" applyBorder="1" applyAlignment="1">
      <alignment horizontal="center"/>
    </xf>
    <xf numFmtId="43" fontId="28" fillId="0" borderId="0" xfId="2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wrapText="1" readingOrder="1"/>
    </xf>
    <xf numFmtId="0" fontId="28" fillId="0" borderId="1" xfId="0" applyFont="1" applyFill="1" applyBorder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43" fontId="50" fillId="0" borderId="7" xfId="2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70" fillId="2" borderId="9" xfId="0" applyFont="1" applyFill="1" applyBorder="1" applyAlignment="1">
      <alignment horizontal="center" vertical="center" wrapText="1" readingOrder="1"/>
    </xf>
    <xf numFmtId="0" fontId="70" fillId="2" borderId="10" xfId="0" applyFont="1" applyFill="1" applyBorder="1" applyAlignment="1">
      <alignment horizontal="center" vertical="center" wrapText="1" readingOrder="1"/>
    </xf>
    <xf numFmtId="0" fontId="103" fillId="0" borderId="0" xfId="0" applyFont="1"/>
    <xf numFmtId="0" fontId="104" fillId="0" borderId="33" xfId="0" applyFont="1" applyBorder="1" applyAlignment="1">
      <alignment vertical="center"/>
    </xf>
    <xf numFmtId="0" fontId="103" fillId="0" borderId="13" xfId="0" applyFont="1" applyBorder="1"/>
    <xf numFmtId="0" fontId="103" fillId="0" borderId="0" xfId="0" applyFont="1" applyAlignment="1">
      <alignment wrapText="1"/>
    </xf>
    <xf numFmtId="0" fontId="103" fillId="30" borderId="0" xfId="0" applyFont="1" applyFill="1" applyAlignment="1">
      <alignment wrapText="1"/>
    </xf>
    <xf numFmtId="0" fontId="103" fillId="30" borderId="0" xfId="0" applyFont="1" applyFill="1"/>
    <xf numFmtId="0" fontId="103" fillId="0" borderId="0" xfId="0" applyFont="1" applyAlignment="1"/>
    <xf numFmtId="0" fontId="105" fillId="0" borderId="13" xfId="0" applyFont="1" applyBorder="1" applyAlignment="1">
      <alignment horizontal="left" wrapText="1" readingOrder="1"/>
    </xf>
    <xf numFmtId="0" fontId="62" fillId="0" borderId="13" xfId="0" applyFont="1" applyBorder="1" applyAlignment="1">
      <alignment horizontal="center"/>
    </xf>
    <xf numFmtId="3" fontId="106" fillId="0" borderId="13" xfId="0" applyNumberFormat="1" applyFont="1" applyBorder="1" applyAlignment="1">
      <alignment horizontal="center"/>
    </xf>
    <xf numFmtId="4" fontId="62" fillId="0" borderId="13" xfId="0" applyNumberFormat="1" applyFont="1" applyFill="1" applyBorder="1" applyAlignment="1">
      <alignment horizontal="center" wrapText="1" readingOrder="1"/>
    </xf>
    <xf numFmtId="4" fontId="104" fillId="0" borderId="13" xfId="0" applyNumberFormat="1" applyFont="1" applyFill="1" applyBorder="1" applyAlignment="1">
      <alignment horizontal="center" wrapText="1" readingOrder="1"/>
    </xf>
    <xf numFmtId="3" fontId="107" fillId="0" borderId="13" xfId="0" applyNumberFormat="1" applyFont="1" applyFill="1" applyBorder="1" applyAlignment="1">
      <alignment horizontal="center" wrapText="1" readingOrder="1"/>
    </xf>
    <xf numFmtId="0" fontId="104" fillId="8" borderId="13" xfId="0" applyFont="1" applyFill="1" applyBorder="1" applyAlignment="1">
      <alignment horizontal="center"/>
    </xf>
    <xf numFmtId="0" fontId="104" fillId="0" borderId="13" xfId="0" applyFont="1" applyFill="1" applyBorder="1" applyAlignment="1">
      <alignment horizontal="center"/>
    </xf>
    <xf numFmtId="3" fontId="104" fillId="0" borderId="13" xfId="0" applyNumberFormat="1" applyFont="1" applyFill="1" applyBorder="1" applyAlignment="1">
      <alignment horizontal="center" wrapText="1" readingOrder="1"/>
    </xf>
    <xf numFmtId="189" fontId="104" fillId="0" borderId="13" xfId="0" applyNumberFormat="1" applyFont="1" applyFill="1" applyBorder="1" applyAlignment="1">
      <alignment horizontal="center" wrapText="1" readingOrder="1"/>
    </xf>
    <xf numFmtId="0" fontId="105" fillId="0" borderId="13" xfId="0" applyFont="1" applyFill="1" applyBorder="1" applyAlignment="1">
      <alignment horizontal="left" wrapText="1" readingOrder="1"/>
    </xf>
    <xf numFmtId="3" fontId="108" fillId="6" borderId="13" xfId="0" applyNumberFormat="1" applyFont="1" applyFill="1" applyBorder="1" applyAlignment="1">
      <alignment horizontal="center"/>
    </xf>
    <xf numFmtId="0" fontId="109" fillId="0" borderId="13" xfId="0" applyFont="1" applyBorder="1" applyAlignment="1">
      <alignment horizontal="center"/>
    </xf>
    <xf numFmtId="0" fontId="104" fillId="10" borderId="13" xfId="0" applyFont="1" applyFill="1" applyBorder="1" applyAlignment="1">
      <alignment horizontal="center"/>
    </xf>
    <xf numFmtId="0" fontId="104" fillId="10" borderId="1" xfId="0" applyFont="1" applyFill="1" applyBorder="1" applyAlignment="1">
      <alignment horizontal="center"/>
    </xf>
    <xf numFmtId="3" fontId="104" fillId="0" borderId="13" xfId="0" applyNumberFormat="1" applyFont="1" applyFill="1" applyBorder="1" applyAlignment="1">
      <alignment horizontal="center"/>
    </xf>
    <xf numFmtId="0" fontId="104" fillId="11" borderId="13" xfId="0" applyFont="1" applyFill="1" applyBorder="1" applyAlignment="1">
      <alignment horizontal="center"/>
    </xf>
    <xf numFmtId="3" fontId="108" fillId="0" borderId="13" xfId="0" applyNumberFormat="1" applyFont="1" applyFill="1" applyBorder="1" applyAlignment="1">
      <alignment horizontal="center" wrapText="1" readingOrder="1"/>
    </xf>
    <xf numFmtId="0" fontId="104" fillId="11" borderId="1" xfId="0" applyFont="1" applyFill="1" applyBorder="1" applyAlignment="1">
      <alignment horizontal="center"/>
    </xf>
    <xf numFmtId="3" fontId="110" fillId="0" borderId="13" xfId="0" applyNumberFormat="1" applyFont="1" applyBorder="1" applyAlignment="1">
      <alignment horizontal="center"/>
    </xf>
    <xf numFmtId="0" fontId="111" fillId="0" borderId="0" xfId="0" applyFont="1" applyAlignment="1"/>
    <xf numFmtId="0" fontId="104" fillId="9" borderId="13" xfId="0" applyFont="1" applyFill="1" applyBorder="1" applyAlignment="1">
      <alignment horizontal="center"/>
    </xf>
    <xf numFmtId="0" fontId="104" fillId="8" borderId="1" xfId="0" applyFont="1" applyFill="1" applyBorder="1" applyAlignment="1">
      <alignment horizontal="center"/>
    </xf>
    <xf numFmtId="3" fontId="104" fillId="0" borderId="1" xfId="0" applyNumberFormat="1" applyFont="1" applyFill="1" applyBorder="1" applyAlignment="1">
      <alignment horizontal="center" wrapText="1" readingOrder="1"/>
    </xf>
    <xf numFmtId="0" fontId="104" fillId="0" borderId="0" xfId="0" applyFont="1"/>
    <xf numFmtId="2" fontId="103" fillId="0" borderId="0" xfId="0" applyNumberFormat="1" applyFont="1"/>
    <xf numFmtId="17" fontId="103" fillId="0" borderId="0" xfId="0" applyNumberFormat="1" applyFont="1" applyBorder="1" applyAlignment="1">
      <alignment horizontal="center"/>
    </xf>
    <xf numFmtId="43" fontId="103" fillId="0" borderId="0" xfId="2" applyFont="1" applyFill="1" applyBorder="1"/>
    <xf numFmtId="43" fontId="103" fillId="0" borderId="0" xfId="2" applyFont="1"/>
    <xf numFmtId="43" fontId="112" fillId="0" borderId="0" xfId="2" applyFont="1" applyFill="1" applyBorder="1" applyAlignment="1">
      <alignment horizontal="center" vertical="center"/>
    </xf>
    <xf numFmtId="187" fontId="112" fillId="0" borderId="0" xfId="2" applyNumberFormat="1" applyFont="1" applyFill="1" applyBorder="1" applyAlignment="1">
      <alignment horizontal="center"/>
    </xf>
    <xf numFmtId="0" fontId="103" fillId="0" borderId="0" xfId="0" applyFont="1" applyAlignment="1">
      <alignment horizontal="left"/>
    </xf>
    <xf numFmtId="43" fontId="113" fillId="0" borderId="1" xfId="2" applyFont="1" applyFill="1" applyBorder="1" applyAlignment="1"/>
    <xf numFmtId="43" fontId="113" fillId="0" borderId="1" xfId="2" applyFont="1" applyBorder="1" applyAlignment="1"/>
    <xf numFmtId="0" fontId="103" fillId="0" borderId="0" xfId="0" applyFont="1" applyAlignment="1">
      <alignment horizontal="left" vertical="center"/>
    </xf>
    <xf numFmtId="43" fontId="113" fillId="0" borderId="1" xfId="2" applyFont="1" applyFill="1" applyBorder="1" applyAlignment="1">
      <alignment vertical="center"/>
    </xf>
    <xf numFmtId="43" fontId="113" fillId="0" borderId="7" xfId="2" applyFont="1" applyBorder="1" applyAlignment="1"/>
    <xf numFmtId="43" fontId="112" fillId="0" borderId="7" xfId="2" applyFont="1" applyBorder="1" applyAlignment="1">
      <alignment horizontal="center" vertical="center"/>
    </xf>
    <xf numFmtId="0" fontId="104" fillId="0" borderId="0" xfId="0" applyFont="1" applyAlignment="1">
      <alignment vertical="top"/>
    </xf>
    <xf numFmtId="43" fontId="113" fillId="0" borderId="5" xfId="2" applyFont="1" applyBorder="1" applyAlignment="1">
      <alignment horizontal="left" vertical="center"/>
    </xf>
    <xf numFmtId="43" fontId="113" fillId="0" borderId="6" xfId="2" applyFont="1" applyBorder="1" applyAlignment="1">
      <alignment horizontal="left" vertical="center"/>
    </xf>
    <xf numFmtId="43" fontId="113" fillId="0" borderId="6" xfId="2" applyFont="1" applyBorder="1" applyAlignment="1">
      <alignment vertical="center"/>
    </xf>
    <xf numFmtId="187" fontId="112" fillId="0" borderId="6" xfId="2" applyNumberFormat="1" applyFont="1" applyBorder="1" applyAlignment="1">
      <alignment horizontal="center" vertical="center"/>
    </xf>
    <xf numFmtId="0" fontId="103" fillId="0" borderId="0" xfId="0" applyFont="1" applyAlignment="1">
      <alignment horizontal="center"/>
    </xf>
    <xf numFmtId="187" fontId="103" fillId="0" borderId="0" xfId="0" applyNumberFormat="1" applyFont="1" applyAlignment="1">
      <alignment horizontal="center"/>
    </xf>
    <xf numFmtId="0" fontId="104" fillId="0" borderId="0" xfId="0" applyFont="1" applyAlignment="1">
      <alignment horizontal="left"/>
    </xf>
    <xf numFmtId="43" fontId="113" fillId="0" borderId="0" xfId="2" applyFont="1"/>
    <xf numFmtId="43" fontId="114" fillId="0" borderId="0" xfId="2" applyFont="1" applyFill="1"/>
    <xf numFmtId="0" fontId="114" fillId="0" borderId="0" xfId="0" applyFont="1" applyFill="1" applyAlignment="1">
      <alignment horizontal="center"/>
    </xf>
    <xf numFmtId="17" fontId="103" fillId="0" borderId="0" xfId="0" applyNumberFormat="1" applyFont="1" applyFill="1" applyBorder="1" applyAlignment="1">
      <alignment horizontal="center"/>
    </xf>
    <xf numFmtId="43" fontId="103" fillId="0" borderId="0" xfId="2" applyFont="1" applyFill="1" applyBorder="1" applyAlignment="1">
      <alignment horizontal="center"/>
    </xf>
    <xf numFmtId="43" fontId="111" fillId="0" borderId="0" xfId="2" applyFont="1" applyFill="1" applyBorder="1" applyAlignment="1">
      <alignment horizontal="center"/>
    </xf>
    <xf numFmtId="43" fontId="111" fillId="0" borderId="0" xfId="2" applyFont="1" applyFill="1" applyBorder="1"/>
    <xf numFmtId="0" fontId="111" fillId="0" borderId="0" xfId="0" applyNumberFormat="1" applyFont="1" applyFill="1" applyBorder="1" applyAlignment="1">
      <alignment horizontal="center"/>
    </xf>
    <xf numFmtId="4" fontId="63" fillId="0" borderId="13" xfId="0" quotePrefix="1" applyNumberFormat="1" applyFont="1" applyBorder="1"/>
    <xf numFmtId="0" fontId="63" fillId="0" borderId="0" xfId="0" applyFont="1"/>
    <xf numFmtId="0" fontId="115" fillId="0" borderId="0" xfId="0" applyFont="1"/>
    <xf numFmtId="4" fontId="18" fillId="0" borderId="13" xfId="0" applyNumberFormat="1" applyFont="1" applyBorder="1"/>
    <xf numFmtId="0" fontId="18" fillId="0" borderId="12" xfId="0" applyFont="1" applyFill="1" applyBorder="1" applyAlignment="1">
      <alignment horizontal="center" wrapText="1" readingOrder="1"/>
    </xf>
    <xf numFmtId="0" fontId="44" fillId="0" borderId="33" xfId="0" applyFont="1" applyBorder="1" applyAlignment="1">
      <alignment vertical="center"/>
    </xf>
    <xf numFmtId="0" fontId="0" fillId="0" borderId="13" xfId="0" applyBorder="1"/>
    <xf numFmtId="0" fontId="59" fillId="0" borderId="13" xfId="0" applyFont="1" applyBorder="1" applyAlignment="1">
      <alignment horizontal="center"/>
    </xf>
    <xf numFmtId="3" fontId="62" fillId="0" borderId="13" xfId="0" applyNumberFormat="1" applyFont="1" applyBorder="1" applyAlignment="1">
      <alignment horizontal="center"/>
    </xf>
    <xf numFmtId="4" fontId="61" fillId="0" borderId="13" xfId="0" applyNumberFormat="1" applyFont="1" applyBorder="1"/>
    <xf numFmtId="3" fontId="47" fillId="0" borderId="13" xfId="0" applyNumberFormat="1" applyFont="1" applyFill="1" applyBorder="1" applyAlignment="1">
      <alignment horizontal="center" wrapText="1" readingOrder="1"/>
    </xf>
    <xf numFmtId="0" fontId="116" fillId="0" borderId="13" xfId="0" applyFont="1" applyFill="1" applyBorder="1" applyAlignment="1">
      <alignment horizontal="center"/>
    </xf>
    <xf numFmtId="3" fontId="117" fillId="6" borderId="13" xfId="0" applyNumberFormat="1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 wrapText="1" readingOrder="1"/>
    </xf>
    <xf numFmtId="0" fontId="116" fillId="8" borderId="13" xfId="0" applyFont="1" applyFill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116" fillId="8" borderId="1" xfId="0" applyFont="1" applyFill="1" applyBorder="1" applyAlignment="1">
      <alignment horizontal="center"/>
    </xf>
    <xf numFmtId="0" fontId="116" fillId="10" borderId="13" xfId="0" applyFont="1" applyFill="1" applyBorder="1" applyAlignment="1">
      <alignment horizontal="center"/>
    </xf>
    <xf numFmtId="3" fontId="109" fillId="0" borderId="13" xfId="0" applyNumberFormat="1" applyFont="1" applyBorder="1" applyAlignment="1">
      <alignment horizontal="center"/>
    </xf>
    <xf numFmtId="0" fontId="116" fillId="10" borderId="1" xfId="0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/>
    </xf>
    <xf numFmtId="0" fontId="116" fillId="11" borderId="1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wrapText="1" readingOrder="1"/>
    </xf>
    <xf numFmtId="0" fontId="116" fillId="11" borderId="13" xfId="0" applyFont="1" applyFill="1" applyBorder="1" applyAlignment="1">
      <alignment horizontal="center"/>
    </xf>
    <xf numFmtId="3" fontId="46" fillId="0" borderId="1" xfId="0" applyNumberFormat="1" applyFont="1" applyFill="1" applyBorder="1" applyAlignment="1">
      <alignment horizontal="center" wrapText="1" readingOrder="1"/>
    </xf>
    <xf numFmtId="0" fontId="118" fillId="0" borderId="0" xfId="0" applyFont="1"/>
    <xf numFmtId="43" fontId="51" fillId="0" borderId="7" xfId="2" applyFont="1" applyBorder="1" applyAlignment="1"/>
    <xf numFmtId="43" fontId="51" fillId="0" borderId="6" xfId="2" applyFont="1" applyBorder="1" applyAlignment="1">
      <alignment horizontal="left" vertical="center"/>
    </xf>
    <xf numFmtId="0" fontId="63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center"/>
    </xf>
    <xf numFmtId="0" fontId="15" fillId="0" borderId="15" xfId="0" applyFont="1" applyFill="1" applyBorder="1" applyAlignment="1">
      <alignment horizontal="center" wrapText="1" readingOrder="1"/>
    </xf>
    <xf numFmtId="0" fontId="93" fillId="0" borderId="3" xfId="0" applyFont="1" applyBorder="1" applyAlignment="1">
      <alignment horizontal="center" wrapText="1" readingOrder="1"/>
    </xf>
    <xf numFmtId="0" fontId="119" fillId="31" borderId="1" xfId="0" applyFont="1" applyFill="1" applyBorder="1" applyAlignment="1">
      <alignment horizontal="center" vertical="center" wrapText="1" readingOrder="1"/>
    </xf>
    <xf numFmtId="0" fontId="48" fillId="0" borderId="1" xfId="0" applyFont="1" applyFill="1" applyBorder="1" applyAlignment="1">
      <alignment horizontal="center" wrapText="1" readingOrder="1"/>
    </xf>
    <xf numFmtId="0" fontId="120" fillId="0" borderId="1" xfId="0" applyFont="1" applyBorder="1" applyAlignment="1">
      <alignment horizontal="left" wrapText="1" readingOrder="1"/>
    </xf>
    <xf numFmtId="0" fontId="0" fillId="0" borderId="1" xfId="0" applyBorder="1"/>
    <xf numFmtId="17" fontId="121" fillId="2" borderId="34" xfId="0" applyNumberFormat="1" applyFont="1" applyFill="1" applyBorder="1" applyAlignment="1">
      <alignment horizontal="center" vertical="center" wrapText="1" readingOrder="1"/>
    </xf>
    <xf numFmtId="17" fontId="121" fillId="2" borderId="35" xfId="0" applyNumberFormat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121" fillId="0" borderId="34" xfId="0" applyFont="1" applyBorder="1" applyAlignment="1">
      <alignment horizontal="left" vertical="center" wrapText="1" readingOrder="1"/>
    </xf>
    <xf numFmtId="0" fontId="121" fillId="32" borderId="34" xfId="0" applyFont="1" applyFill="1" applyBorder="1" applyAlignment="1">
      <alignment horizontal="center" vertical="center" wrapText="1" readingOrder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121" fillId="33" borderId="34" xfId="0" applyFont="1" applyFill="1" applyBorder="1" applyAlignment="1">
      <alignment horizontal="center" vertical="center" wrapText="1" readingOrder="1"/>
    </xf>
    <xf numFmtId="0" fontId="121" fillId="34" borderId="34" xfId="0" applyFont="1" applyFill="1" applyBorder="1" applyAlignment="1">
      <alignment horizontal="center" vertical="center" wrapText="1" readingOrder="1"/>
    </xf>
    <xf numFmtId="0" fontId="121" fillId="35" borderId="34" xfId="0" applyFont="1" applyFill="1" applyBorder="1" applyAlignment="1">
      <alignment horizontal="center" vertical="center" wrapText="1" readingOrder="1"/>
    </xf>
    <xf numFmtId="0" fontId="121" fillId="35" borderId="35" xfId="0" applyFont="1" applyFill="1" applyBorder="1" applyAlignment="1">
      <alignment horizontal="center" vertical="center" wrapText="1" readingOrder="1"/>
    </xf>
    <xf numFmtId="0" fontId="121" fillId="36" borderId="34" xfId="0" applyFont="1" applyFill="1" applyBorder="1" applyAlignment="1">
      <alignment horizontal="center" vertical="center" wrapText="1" readingOrder="1"/>
    </xf>
    <xf numFmtId="0" fontId="121" fillId="36" borderId="35" xfId="0" applyFont="1" applyFill="1" applyBorder="1" applyAlignment="1">
      <alignment horizontal="center" vertical="center" wrapText="1" readingOrder="1"/>
    </xf>
    <xf numFmtId="0" fontId="121" fillId="34" borderId="35" xfId="0" applyFont="1" applyFill="1" applyBorder="1" applyAlignment="1">
      <alignment horizontal="center" vertical="center" wrapText="1" readingOrder="1"/>
    </xf>
    <xf numFmtId="0" fontId="0" fillId="37" borderId="1" xfId="0" applyFill="1" applyBorder="1"/>
    <xf numFmtId="0" fontId="121" fillId="32" borderId="35" xfId="0" applyFont="1" applyFill="1" applyBorder="1" applyAlignment="1">
      <alignment horizontal="center" vertical="center" wrapText="1" readingOrder="1"/>
    </xf>
    <xf numFmtId="0" fontId="121" fillId="33" borderId="35" xfId="0" applyFont="1" applyFill="1" applyBorder="1" applyAlignment="1">
      <alignment horizontal="center" vertical="center" wrapText="1" readingOrder="1"/>
    </xf>
    <xf numFmtId="0" fontId="121" fillId="38" borderId="34" xfId="0" applyFont="1" applyFill="1" applyBorder="1" applyAlignment="1">
      <alignment horizontal="center" vertical="center" wrapText="1" readingOrder="1"/>
    </xf>
    <xf numFmtId="0" fontId="121" fillId="39" borderId="34" xfId="0" applyFont="1" applyFill="1" applyBorder="1" applyAlignment="1">
      <alignment horizontal="center" vertical="center" wrapText="1" readingOrder="1"/>
    </xf>
    <xf numFmtId="0" fontId="131" fillId="0" borderId="32" xfId="0" applyFont="1" applyBorder="1" applyAlignment="1">
      <alignment horizontal="center" vertical="center" wrapText="1" readingOrder="1"/>
    </xf>
    <xf numFmtId="0" fontId="131" fillId="0" borderId="46" xfId="0" applyFont="1" applyBorder="1" applyAlignment="1">
      <alignment horizontal="left" wrapText="1" readingOrder="1"/>
    </xf>
    <xf numFmtId="0" fontId="131" fillId="0" borderId="46" xfId="0" applyFont="1" applyBorder="1" applyAlignment="1">
      <alignment horizontal="center" wrapText="1" readingOrder="1"/>
    </xf>
    <xf numFmtId="0" fontId="120" fillId="0" borderId="32" xfId="0" applyFont="1" applyBorder="1" applyAlignment="1">
      <alignment horizontal="center" wrapText="1" readingOrder="1"/>
    </xf>
    <xf numFmtId="0" fontId="120" fillId="0" borderId="32" xfId="0" applyFont="1" applyBorder="1" applyAlignment="1">
      <alignment horizontal="right" wrapText="1" readingOrder="1"/>
    </xf>
    <xf numFmtId="43" fontId="112" fillId="0" borderId="7" xfId="2" applyFont="1" applyBorder="1" applyAlignment="1">
      <alignment horizontal="center" vertical="center"/>
    </xf>
    <xf numFmtId="0" fontId="120" fillId="12" borderId="32" xfId="0" applyFont="1" applyFill="1" applyBorder="1" applyAlignment="1">
      <alignment horizontal="center" wrapText="1" readingOrder="1"/>
    </xf>
    <xf numFmtId="0" fontId="131" fillId="0" borderId="47" xfId="0" applyFont="1" applyFill="1" applyBorder="1" applyAlignment="1">
      <alignment horizontal="center" vertical="center" wrapText="1" readingOrder="1"/>
    </xf>
    <xf numFmtId="0" fontId="120" fillId="0" borderId="32" xfId="0" applyFont="1" applyFill="1" applyBorder="1" applyAlignment="1">
      <alignment horizontal="center" wrapText="1" readingOrder="1"/>
    </xf>
    <xf numFmtId="43" fontId="112" fillId="0" borderId="7" xfId="2" applyFont="1" applyBorder="1" applyAlignment="1">
      <alignment horizontal="center"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43" fontId="112" fillId="0" borderId="7" xfId="2" applyFont="1" applyBorder="1" applyAlignment="1">
      <alignment horizontal="center" vertical="center"/>
    </xf>
    <xf numFmtId="3" fontId="108" fillId="6" borderId="1" xfId="0" applyNumberFormat="1" applyFont="1" applyFill="1" applyBorder="1" applyAlignment="1">
      <alignment horizontal="center"/>
    </xf>
    <xf numFmtId="2" fontId="109" fillId="0" borderId="13" xfId="0" applyNumberFormat="1" applyFont="1" applyBorder="1" applyAlignment="1">
      <alignment horizontal="center"/>
    </xf>
    <xf numFmtId="0" fontId="111" fillId="0" borderId="0" xfId="0" applyFont="1" applyAlignment="1">
      <alignment horizontal="center"/>
    </xf>
    <xf numFmtId="4" fontId="61" fillId="0" borderId="13" xfId="0" applyNumberFormat="1" applyFont="1" applyFill="1" applyBorder="1" applyAlignment="1">
      <alignment horizontal="center"/>
    </xf>
    <xf numFmtId="43" fontId="112" fillId="0" borderId="7" xfId="2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/>
    </xf>
    <xf numFmtId="0" fontId="103" fillId="0" borderId="0" xfId="0" applyFont="1" applyFill="1" applyAlignment="1">
      <alignment horizontal="center"/>
    </xf>
    <xf numFmtId="0" fontId="111" fillId="0" borderId="0" xfId="0" applyFont="1" applyFill="1" applyAlignment="1">
      <alignment horizontal="center"/>
    </xf>
    <xf numFmtId="0" fontId="58" fillId="2" borderId="9" xfId="0" applyFont="1" applyFill="1" applyBorder="1" applyAlignment="1">
      <alignment horizontal="center" vertical="center" wrapText="1" readingOrder="1"/>
    </xf>
    <xf numFmtId="0" fontId="58" fillId="2" borderId="10" xfId="0" applyFont="1" applyFill="1" applyBorder="1" applyAlignment="1">
      <alignment horizontal="center" vertical="center" wrapText="1" readingOrder="1"/>
    </xf>
    <xf numFmtId="0" fontId="58" fillId="2" borderId="22" xfId="0" applyFont="1" applyFill="1" applyBorder="1" applyAlignment="1">
      <alignment horizontal="center" vertical="center" wrapText="1" readingOrder="1"/>
    </xf>
    <xf numFmtId="43" fontId="58" fillId="2" borderId="9" xfId="2" applyFont="1" applyFill="1" applyBorder="1" applyAlignment="1">
      <alignment horizontal="center" vertical="center" wrapText="1" readingOrder="1"/>
    </xf>
    <xf numFmtId="43" fontId="58" fillId="2" borderId="10" xfId="2" applyFont="1" applyFill="1" applyBorder="1" applyAlignment="1">
      <alignment horizontal="center" vertical="center" wrapText="1" readingOrder="1"/>
    </xf>
    <xf numFmtId="43" fontId="50" fillId="0" borderId="1" xfId="2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 wrapText="1"/>
    </xf>
    <xf numFmtId="0" fontId="51" fillId="0" borderId="8" xfId="0" applyFont="1" applyBorder="1" applyAlignment="1">
      <alignment horizontal="left" vertical="center" wrapText="1"/>
    </xf>
    <xf numFmtId="43" fontId="50" fillId="0" borderId="7" xfId="2" applyFont="1" applyBorder="1" applyAlignment="1">
      <alignment horizontal="center" vertical="center"/>
    </xf>
    <xf numFmtId="43" fontId="122" fillId="0" borderId="9" xfId="2" applyFont="1" applyBorder="1" applyAlignment="1">
      <alignment horizontal="center" vertical="center" wrapText="1"/>
    </xf>
    <xf numFmtId="43" fontId="122" fillId="0" borderId="22" xfId="2" applyFont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 readingOrder="1"/>
    </xf>
    <xf numFmtId="0" fontId="45" fillId="2" borderId="22" xfId="0" applyFont="1" applyFill="1" applyBorder="1" applyAlignment="1">
      <alignment horizontal="center" vertical="center" wrapText="1" readingOrder="1"/>
    </xf>
    <xf numFmtId="0" fontId="45" fillId="31" borderId="9" xfId="0" applyFont="1" applyFill="1" applyBorder="1" applyAlignment="1">
      <alignment horizontal="center" vertical="center" wrapText="1" readingOrder="1"/>
    </xf>
    <xf numFmtId="0" fontId="45" fillId="31" borderId="22" xfId="0" applyFont="1" applyFill="1" applyBorder="1" applyAlignment="1">
      <alignment horizontal="center" vertical="center" wrapText="1" readingOrder="1"/>
    </xf>
    <xf numFmtId="0" fontId="91" fillId="40" borderId="9" xfId="0" applyFont="1" applyFill="1" applyBorder="1" applyAlignment="1">
      <alignment horizontal="center" vertical="center" wrapText="1" readingOrder="1"/>
    </xf>
    <xf numFmtId="0" fontId="91" fillId="40" borderId="22" xfId="0" applyFont="1" applyFill="1" applyBorder="1" applyAlignment="1">
      <alignment horizontal="center" vertical="center" wrapText="1" readingOrder="1"/>
    </xf>
    <xf numFmtId="0" fontId="90" fillId="2" borderId="9" xfId="0" applyFont="1" applyFill="1" applyBorder="1" applyAlignment="1">
      <alignment horizontal="center" vertical="center" wrapText="1" readingOrder="1"/>
    </xf>
    <xf numFmtId="0" fontId="90" fillId="2" borderId="22" xfId="0" applyFont="1" applyFill="1" applyBorder="1" applyAlignment="1">
      <alignment horizontal="center" vertical="center" wrapText="1" readingOrder="1"/>
    </xf>
    <xf numFmtId="0" fontId="123" fillId="0" borderId="9" xfId="0" applyFont="1" applyBorder="1" applyAlignment="1">
      <alignment horizontal="center" vertical="center" wrapText="1" readingOrder="1"/>
    </xf>
    <xf numFmtId="0" fontId="123" fillId="0" borderId="23" xfId="0" applyFont="1" applyBorder="1" applyAlignment="1">
      <alignment horizontal="center" vertical="center" wrapText="1" readingOrder="1"/>
    </xf>
    <xf numFmtId="0" fontId="91" fillId="2" borderId="9" xfId="0" applyFont="1" applyFill="1" applyBorder="1" applyAlignment="1">
      <alignment horizontal="center" vertical="center" wrapText="1" readingOrder="1"/>
    </xf>
    <xf numFmtId="0" fontId="91" fillId="2" borderId="22" xfId="0" applyFont="1" applyFill="1" applyBorder="1" applyAlignment="1">
      <alignment horizontal="center" vertical="center" wrapText="1" readingOrder="1"/>
    </xf>
    <xf numFmtId="43" fontId="122" fillId="0" borderId="10" xfId="2" applyFont="1" applyBorder="1" applyAlignment="1">
      <alignment horizontal="center" vertical="center" wrapText="1"/>
    </xf>
    <xf numFmtId="0" fontId="45" fillId="31" borderId="10" xfId="0" applyFont="1" applyFill="1" applyBorder="1" applyAlignment="1">
      <alignment horizontal="center" vertical="center" wrapText="1" readingOrder="1"/>
    </xf>
    <xf numFmtId="0" fontId="49" fillId="0" borderId="0" xfId="0" applyFont="1" applyAlignment="1">
      <alignment horizontal="left"/>
    </xf>
    <xf numFmtId="0" fontId="76" fillId="31" borderId="9" xfId="0" applyFont="1" applyFill="1" applyBorder="1" applyAlignment="1">
      <alignment horizontal="center" vertical="center" wrapText="1" readingOrder="1"/>
    </xf>
    <xf numFmtId="0" fontId="76" fillId="31" borderId="10" xfId="0" applyFont="1" applyFill="1" applyBorder="1" applyAlignment="1">
      <alignment horizontal="center" vertical="center" wrapText="1" readingOrder="1"/>
    </xf>
    <xf numFmtId="43" fontId="51" fillId="0" borderId="1" xfId="2" applyFont="1" applyBorder="1" applyAlignment="1">
      <alignment horizontal="center" vertical="center"/>
    </xf>
    <xf numFmtId="0" fontId="76" fillId="2" borderId="9" xfId="0" applyFont="1" applyFill="1" applyBorder="1" applyAlignment="1">
      <alignment horizontal="center" vertical="center" wrapText="1" readingOrder="1"/>
    </xf>
    <xf numFmtId="0" fontId="76" fillId="2" borderId="22" xfId="0" applyFont="1" applyFill="1" applyBorder="1" applyAlignment="1">
      <alignment horizontal="center" vertical="center" wrapText="1" readingOrder="1"/>
    </xf>
    <xf numFmtId="0" fontId="76" fillId="2" borderId="10" xfId="0" applyFont="1" applyFill="1" applyBorder="1" applyAlignment="1">
      <alignment horizontal="center" vertical="center" wrapText="1" readingOrder="1"/>
    </xf>
    <xf numFmtId="43" fontId="76" fillId="2" borderId="9" xfId="2" applyFont="1" applyFill="1" applyBorder="1" applyAlignment="1">
      <alignment horizontal="center" vertical="center" wrapText="1" readingOrder="1"/>
    </xf>
    <xf numFmtId="43" fontId="76" fillId="2" borderId="10" xfId="2" applyFont="1" applyFill="1" applyBorder="1" applyAlignment="1">
      <alignment horizontal="center" vertical="center" wrapText="1" readingOrder="1"/>
    </xf>
    <xf numFmtId="43" fontId="55" fillId="2" borderId="9" xfId="2" applyFont="1" applyFill="1" applyBorder="1" applyAlignment="1">
      <alignment horizontal="center" vertical="center" wrapText="1"/>
    </xf>
    <xf numFmtId="43" fontId="55" fillId="2" borderId="10" xfId="2" applyFont="1" applyFill="1" applyBorder="1" applyAlignment="1">
      <alignment horizontal="center" vertical="center" wrapText="1"/>
    </xf>
    <xf numFmtId="43" fontId="51" fillId="0" borderId="7" xfId="2" applyFont="1" applyBorder="1" applyAlignment="1">
      <alignment horizontal="center" vertical="center"/>
    </xf>
    <xf numFmtId="0" fontId="58" fillId="31" borderId="1" xfId="0" applyFont="1" applyFill="1" applyBorder="1" applyAlignment="1">
      <alignment horizontal="center" vertical="center" wrapText="1" readingOrder="1"/>
    </xf>
    <xf numFmtId="0" fontId="58" fillId="2" borderId="1" xfId="0" applyFont="1" applyFill="1" applyBorder="1" applyAlignment="1">
      <alignment horizontal="center" vertical="center" wrapText="1" readingOrder="1"/>
    </xf>
    <xf numFmtId="43" fontId="58" fillId="2" borderId="1" xfId="2" applyFont="1" applyFill="1" applyBorder="1" applyAlignment="1">
      <alignment horizontal="center" vertical="center" wrapText="1" readingOrder="1"/>
    </xf>
    <xf numFmtId="43" fontId="124" fillId="2" borderId="1" xfId="2" applyFont="1" applyFill="1" applyBorder="1" applyAlignment="1">
      <alignment horizontal="center" vertical="center" wrapText="1"/>
    </xf>
    <xf numFmtId="43" fontId="122" fillId="2" borderId="9" xfId="2" applyFont="1" applyFill="1" applyBorder="1" applyAlignment="1">
      <alignment horizontal="center" vertical="center" wrapText="1"/>
    </xf>
    <xf numFmtId="43" fontId="122" fillId="2" borderId="10" xfId="2" applyFont="1" applyFill="1" applyBorder="1" applyAlignment="1">
      <alignment horizontal="center" vertical="center" wrapText="1"/>
    </xf>
    <xf numFmtId="0" fontId="70" fillId="31" borderId="9" xfId="0" applyFont="1" applyFill="1" applyBorder="1" applyAlignment="1">
      <alignment horizontal="center" vertical="center" wrapText="1" readingOrder="1"/>
    </xf>
    <xf numFmtId="0" fontId="70" fillId="31" borderId="10" xfId="0" applyFont="1" applyFill="1" applyBorder="1" applyAlignment="1">
      <alignment horizontal="center" vertical="center" wrapText="1" readingOrder="1"/>
    </xf>
    <xf numFmtId="0" fontId="119" fillId="31" borderId="9" xfId="0" applyFont="1" applyFill="1" applyBorder="1" applyAlignment="1">
      <alignment horizontal="center" vertical="center" wrapText="1" readingOrder="1"/>
    </xf>
    <xf numFmtId="0" fontId="119" fillId="31" borderId="10" xfId="0" applyFont="1" applyFill="1" applyBorder="1" applyAlignment="1">
      <alignment horizontal="center" vertical="center" wrapText="1" readingOrder="1"/>
    </xf>
    <xf numFmtId="43" fontId="68" fillId="0" borderId="1" xfId="2" applyFont="1" applyBorder="1" applyAlignment="1">
      <alignment horizontal="center" vertical="center"/>
    </xf>
    <xf numFmtId="0" fontId="68" fillId="0" borderId="1" xfId="0" applyFont="1" applyBorder="1" applyAlignment="1">
      <alignment horizontal="left" vertical="center" wrapText="1"/>
    </xf>
    <xf numFmtId="0" fontId="68" fillId="0" borderId="8" xfId="0" applyFont="1" applyBorder="1" applyAlignment="1">
      <alignment horizontal="left" vertical="center" wrapText="1"/>
    </xf>
    <xf numFmtId="0" fontId="70" fillId="2" borderId="9" xfId="0" applyFont="1" applyFill="1" applyBorder="1" applyAlignment="1">
      <alignment horizontal="center" vertical="center" wrapText="1" readingOrder="1"/>
    </xf>
    <xf numFmtId="0" fontId="70" fillId="2" borderId="22" xfId="0" applyFont="1" applyFill="1" applyBorder="1" applyAlignment="1">
      <alignment horizontal="center" vertical="center" wrapText="1" readingOrder="1"/>
    </xf>
    <xf numFmtId="0" fontId="70" fillId="2" borderId="10" xfId="0" applyFont="1" applyFill="1" applyBorder="1" applyAlignment="1">
      <alignment horizontal="center" vertical="center" wrapText="1" readingOrder="1"/>
    </xf>
    <xf numFmtId="43" fontId="70" fillId="2" borderId="9" xfId="2" applyFont="1" applyFill="1" applyBorder="1" applyAlignment="1">
      <alignment horizontal="center" vertical="center" wrapText="1" readingOrder="1"/>
    </xf>
    <xf numFmtId="43" fontId="70" fillId="2" borderId="10" xfId="2" applyFont="1" applyFill="1" applyBorder="1" applyAlignment="1">
      <alignment horizontal="center" vertical="center" wrapText="1" readingOrder="1"/>
    </xf>
    <xf numFmtId="43" fontId="68" fillId="0" borderId="7" xfId="2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43" fontId="63" fillId="2" borderId="9" xfId="2" applyFont="1" applyFill="1" applyBorder="1" applyAlignment="1">
      <alignment horizontal="center" vertical="center" wrapText="1"/>
    </xf>
    <xf numFmtId="43" fontId="63" fillId="2" borderId="10" xfId="2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 readingOrder="1"/>
    </xf>
    <xf numFmtId="0" fontId="21" fillId="2" borderId="10" xfId="0" applyFont="1" applyFill="1" applyBorder="1" applyAlignment="1">
      <alignment horizontal="center" vertical="center" wrapText="1" readingOrder="1"/>
    </xf>
    <xf numFmtId="43" fontId="21" fillId="2" borderId="9" xfId="2" applyFont="1" applyFill="1" applyBorder="1" applyAlignment="1">
      <alignment horizontal="center" vertical="center" wrapText="1" readingOrder="1"/>
    </xf>
    <xf numFmtId="43" fontId="21" fillId="2" borderId="10" xfId="2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left"/>
    </xf>
    <xf numFmtId="0" fontId="21" fillId="31" borderId="9" xfId="0" applyFont="1" applyFill="1" applyBorder="1" applyAlignment="1">
      <alignment horizontal="center" vertical="center" wrapText="1" readingOrder="1"/>
    </xf>
    <xf numFmtId="0" fontId="21" fillId="31" borderId="10" xfId="0" applyFont="1" applyFill="1" applyBorder="1" applyAlignment="1">
      <alignment horizontal="center" vertical="center" wrapText="1" readingOrder="1"/>
    </xf>
    <xf numFmtId="43" fontId="22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43" fontId="22" fillId="0" borderId="7" xfId="2" applyFont="1" applyBorder="1" applyAlignment="1">
      <alignment horizontal="center" vertical="center"/>
    </xf>
    <xf numFmtId="43" fontId="22" fillId="2" borderId="9" xfId="2" applyFont="1" applyFill="1" applyBorder="1" applyAlignment="1">
      <alignment horizontal="center" vertical="center" wrapText="1"/>
    </xf>
    <xf numFmtId="43" fontId="22" fillId="2" borderId="10" xfId="2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 readingOrder="1"/>
    </xf>
    <xf numFmtId="0" fontId="28" fillId="0" borderId="0" xfId="0" applyFont="1" applyFill="1" applyBorder="1" applyAlignment="1">
      <alignment horizontal="left"/>
    </xf>
    <xf numFmtId="188" fontId="29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 readingOrder="1"/>
    </xf>
    <xf numFmtId="43" fontId="28" fillId="0" borderId="0" xfId="2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 applyProtection="1">
      <alignment horizontal="center" vertical="center" wrapText="1"/>
    </xf>
    <xf numFmtId="43" fontId="28" fillId="0" borderId="1" xfId="2" applyFont="1" applyFill="1" applyBorder="1" applyAlignment="1">
      <alignment horizontal="center" vertical="center" wrapText="1" readingOrder="1"/>
    </xf>
    <xf numFmtId="43" fontId="28" fillId="0" borderId="1" xfId="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 readingOrder="1"/>
    </xf>
    <xf numFmtId="0" fontId="28" fillId="0" borderId="0" xfId="0" applyFont="1" applyFill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horizontal="center" vertical="center" wrapText="1" readingOrder="1"/>
    </xf>
    <xf numFmtId="43" fontId="23" fillId="0" borderId="1" xfId="2" applyFont="1" applyBorder="1" applyAlignment="1">
      <alignment horizontal="center" vertical="center"/>
    </xf>
    <xf numFmtId="43" fontId="23" fillId="0" borderId="7" xfId="2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wrapText="1" readingOrder="1"/>
    </xf>
    <xf numFmtId="0" fontId="28" fillId="0" borderId="0" xfId="0" applyFont="1" applyBorder="1" applyAlignment="1">
      <alignment horizontal="center" vertical="center"/>
    </xf>
    <xf numFmtId="0" fontId="126" fillId="2" borderId="13" xfId="0" applyFont="1" applyFill="1" applyBorder="1" applyAlignment="1">
      <alignment horizontal="center" vertical="center" wrapText="1" readingOrder="1"/>
    </xf>
    <xf numFmtId="0" fontId="130" fillId="4" borderId="13" xfId="0" applyFont="1" applyFill="1" applyBorder="1" applyAlignment="1">
      <alignment horizontal="center" vertical="center" wrapText="1" readingOrder="1"/>
    </xf>
    <xf numFmtId="0" fontId="45" fillId="31" borderId="13" xfId="0" applyFont="1" applyFill="1" applyBorder="1" applyAlignment="1">
      <alignment horizontal="center" vertical="center" wrapText="1" readingOrder="1"/>
    </xf>
    <xf numFmtId="3" fontId="125" fillId="41" borderId="9" xfId="0" applyNumberFormat="1" applyFont="1" applyFill="1" applyBorder="1" applyAlignment="1" applyProtection="1">
      <alignment horizontal="center" vertical="center" wrapText="1"/>
    </xf>
    <xf numFmtId="3" fontId="125" fillId="41" borderId="22" xfId="0" applyNumberFormat="1" applyFont="1" applyFill="1" applyBorder="1" applyAlignment="1" applyProtection="1">
      <alignment horizontal="center" vertical="center" wrapText="1"/>
    </xf>
    <xf numFmtId="43" fontId="104" fillId="2" borderId="13" xfId="2" applyFont="1" applyFill="1" applyBorder="1" applyAlignment="1">
      <alignment horizontal="center" vertical="center" wrapText="1"/>
    </xf>
    <xf numFmtId="0" fontId="127" fillId="0" borderId="33" xfId="0" applyFont="1" applyBorder="1" applyAlignment="1">
      <alignment horizontal="center" vertical="center"/>
    </xf>
    <xf numFmtId="3" fontId="128" fillId="3" borderId="13" xfId="0" applyNumberFormat="1" applyFont="1" applyFill="1" applyBorder="1" applyAlignment="1" applyProtection="1">
      <alignment horizontal="center" vertical="center" wrapText="1"/>
    </xf>
    <xf numFmtId="3" fontId="128" fillId="42" borderId="13" xfId="0" applyNumberFormat="1" applyFont="1" applyFill="1" applyBorder="1" applyAlignment="1" applyProtection="1">
      <alignment horizontal="center" vertical="center" wrapText="1"/>
    </xf>
    <xf numFmtId="3" fontId="128" fillId="43" borderId="13" xfId="0" applyNumberFormat="1" applyFont="1" applyFill="1" applyBorder="1" applyAlignment="1" applyProtection="1">
      <alignment horizontal="center" vertical="center" wrapText="1"/>
    </xf>
    <xf numFmtId="3" fontId="128" fillId="31" borderId="13" xfId="0" applyNumberFormat="1" applyFont="1" applyFill="1" applyBorder="1" applyAlignment="1" applyProtection="1">
      <alignment horizontal="center" vertical="center" wrapText="1"/>
    </xf>
    <xf numFmtId="188" fontId="125" fillId="43" borderId="9" xfId="0" applyNumberFormat="1" applyFont="1" applyFill="1" applyBorder="1" applyAlignment="1" applyProtection="1">
      <alignment horizontal="center" vertical="center" wrapText="1"/>
    </xf>
    <xf numFmtId="188" fontId="125" fillId="43" borderId="22" xfId="0" applyNumberFormat="1" applyFont="1" applyFill="1" applyBorder="1" applyAlignment="1" applyProtection="1">
      <alignment horizontal="center" vertical="center" wrapText="1"/>
    </xf>
    <xf numFmtId="0" fontId="129" fillId="2" borderId="13" xfId="0" applyFont="1" applyFill="1" applyBorder="1" applyAlignment="1">
      <alignment horizontal="center" vertical="center" wrapText="1" readingOrder="1"/>
    </xf>
    <xf numFmtId="3" fontId="125" fillId="44" borderId="13" xfId="0" applyNumberFormat="1" applyFont="1" applyFill="1" applyBorder="1" applyAlignment="1" applyProtection="1">
      <alignment horizontal="center" vertical="center" wrapText="1"/>
    </xf>
    <xf numFmtId="43" fontId="126" fillId="2" borderId="13" xfId="2" applyFont="1" applyFill="1" applyBorder="1" applyAlignment="1">
      <alignment horizontal="center" vertical="center" wrapText="1" readingOrder="1"/>
    </xf>
    <xf numFmtId="0" fontId="119" fillId="31" borderId="36" xfId="0" applyFont="1" applyFill="1" applyBorder="1" applyAlignment="1">
      <alignment horizontal="center" vertical="center" wrapText="1" readingOrder="1"/>
    </xf>
    <xf numFmtId="0" fontId="119" fillId="31" borderId="37" xfId="0" applyFont="1" applyFill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0" fontId="121" fillId="2" borderId="38" xfId="0" applyFont="1" applyFill="1" applyBorder="1" applyAlignment="1">
      <alignment horizontal="center" vertical="center" wrapText="1" readingOrder="1"/>
    </xf>
    <xf numFmtId="0" fontId="121" fillId="2" borderId="39" xfId="0" applyFont="1" applyFill="1" applyBorder="1" applyAlignment="1">
      <alignment horizontal="center" vertical="center" wrapText="1" readingOrder="1"/>
    </xf>
    <xf numFmtId="0" fontId="121" fillId="2" borderId="40" xfId="0" applyFont="1" applyFill="1" applyBorder="1" applyAlignment="1">
      <alignment horizontal="center" vertical="center" wrapText="1" readingOrder="1"/>
    </xf>
    <xf numFmtId="0" fontId="121" fillId="26" borderId="35" xfId="0" applyFont="1" applyFill="1" applyBorder="1" applyAlignment="1">
      <alignment horizontal="center" vertical="center" wrapText="1" readingOrder="1"/>
    </xf>
    <xf numFmtId="0" fontId="121" fillId="26" borderId="41" xfId="0" applyFont="1" applyFill="1" applyBorder="1" applyAlignment="1">
      <alignment horizontal="center" vertical="center" wrapText="1" readingOrder="1"/>
    </xf>
    <xf numFmtId="0" fontId="121" fillId="45" borderId="35" xfId="0" applyFont="1" applyFill="1" applyBorder="1" applyAlignment="1">
      <alignment horizontal="center" vertical="center" wrapText="1" readingOrder="1"/>
    </xf>
    <xf numFmtId="0" fontId="121" fillId="45" borderId="41" xfId="0" applyFont="1" applyFill="1" applyBorder="1" applyAlignment="1">
      <alignment horizontal="center" vertical="center" wrapText="1" readingOrder="1"/>
    </xf>
    <xf numFmtId="0" fontId="19" fillId="45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92" fillId="0" borderId="42" xfId="0" applyFont="1" applyBorder="1" applyAlignment="1">
      <alignment horizontal="center" vertical="center" wrapText="1" readingOrder="1"/>
    </xf>
    <xf numFmtId="0" fontId="92" fillId="0" borderId="43" xfId="0" applyFont="1" applyBorder="1" applyAlignment="1">
      <alignment horizontal="center" vertical="center" wrapText="1" readingOrder="1"/>
    </xf>
    <xf numFmtId="0" fontId="92" fillId="0" borderId="44" xfId="0" applyFont="1" applyBorder="1" applyAlignment="1">
      <alignment horizontal="center" wrapText="1" readingOrder="1"/>
    </xf>
    <xf numFmtId="0" fontId="92" fillId="0" borderId="45" xfId="0" applyFont="1" applyBorder="1" applyAlignment="1">
      <alignment horizontal="center" wrapText="1" readingOrder="1"/>
    </xf>
    <xf numFmtId="0" fontId="92" fillId="0" borderId="46" xfId="0" applyFont="1" applyBorder="1" applyAlignment="1">
      <alignment horizontal="center" wrapText="1" readingOrder="1"/>
    </xf>
    <xf numFmtId="43" fontId="112" fillId="0" borderId="1" xfId="2" applyFont="1" applyBorder="1" applyAlignment="1">
      <alignment horizontal="center" vertical="center"/>
    </xf>
    <xf numFmtId="43" fontId="112" fillId="0" borderId="7" xfId="2" applyFont="1" applyBorder="1" applyAlignment="1">
      <alignment horizontal="center" vertical="center"/>
    </xf>
    <xf numFmtId="0" fontId="126" fillId="4" borderId="13" xfId="0" applyFont="1" applyFill="1" applyBorder="1" applyAlignment="1">
      <alignment horizontal="center" vertical="center" wrapText="1" readingOrder="1"/>
    </xf>
    <xf numFmtId="0" fontId="126" fillId="31" borderId="13" xfId="0" applyFont="1" applyFill="1" applyBorder="1" applyAlignment="1">
      <alignment horizontal="center" vertical="center" wrapText="1" readingOrder="1"/>
    </xf>
    <xf numFmtId="0" fontId="103" fillId="46" borderId="0" xfId="0" applyFont="1" applyFill="1" applyAlignment="1">
      <alignment horizontal="center" vertical="center" wrapText="1"/>
    </xf>
    <xf numFmtId="43" fontId="103" fillId="0" borderId="0" xfId="2" applyFont="1" applyAlignment="1"/>
  </cellXfs>
  <cellStyles count="3">
    <cellStyle name="Comma" xfId="2" builtinId="3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4;&#3633;&#3594;&#3609;&#3637;7&#3619;&#3632;&#3604;&#3633;&#3610;&#3611;&#3637;2559_-30-9-5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ค57"/>
      <sheetName val="มีค.58"/>
      <sheetName val="มิย.58"/>
      <sheetName val="กค.58"/>
      <sheetName val="สค.58"/>
      <sheetName val="กย58"/>
      <sheetName val="ตค58"/>
      <sheetName val="พย58"/>
      <sheetName val="ธค58"/>
      <sheetName val="มค59"/>
      <sheetName val="กพ59"/>
      <sheetName val="มีค59"/>
      <sheetName val="เมย59"/>
      <sheetName val="พค.59"/>
      <sheetName val="กค59"/>
      <sheetName val="สค59 (2)"/>
      <sheetName val="นำเสนอtrend"/>
      <sheetName val="Sheet5"/>
      <sheetName val="Sheet5 (2)"/>
      <sheetName val="Sheet1"/>
      <sheetName val="ทำนาย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6" sqref="A6:A21"/>
    </sheetView>
  </sheetViews>
  <sheetFormatPr defaultRowHeight="14.25" x14ac:dyDescent="0.2"/>
  <cols>
    <col min="1" max="1" width="23.375" customWidth="1"/>
    <col min="2" max="4" width="15.625" customWidth="1"/>
    <col min="5" max="5" width="27.875" customWidth="1"/>
    <col min="6" max="6" width="30.5" customWidth="1"/>
    <col min="7" max="7" width="24.75" customWidth="1"/>
    <col min="8" max="8" width="15.625" customWidth="1"/>
    <col min="9" max="12" width="12.625" customWidth="1"/>
  </cols>
  <sheetData>
    <row r="1" spans="1:15" x14ac:dyDescent="0.2">
      <c r="E1" s="292"/>
      <c r="L1" s="293"/>
    </row>
    <row r="2" spans="1:15" ht="30" x14ac:dyDescent="0.4">
      <c r="A2" s="1" t="s">
        <v>129</v>
      </c>
      <c r="E2" s="292"/>
      <c r="L2" s="293"/>
    </row>
    <row r="3" spans="1:15" ht="15" thickBot="1" x14ac:dyDescent="0.25">
      <c r="E3" s="292"/>
      <c r="L3" s="293"/>
    </row>
    <row r="4" spans="1:15" ht="41.25" customHeight="1" x14ac:dyDescent="0.2">
      <c r="A4" s="638" t="s">
        <v>1</v>
      </c>
      <c r="B4" s="638" t="s">
        <v>130</v>
      </c>
      <c r="C4" s="638" t="s">
        <v>131</v>
      </c>
      <c r="D4" s="638" t="s">
        <v>132</v>
      </c>
      <c r="E4" s="641" t="s">
        <v>5</v>
      </c>
      <c r="F4" s="638" t="s">
        <v>6</v>
      </c>
      <c r="G4" s="647" t="s">
        <v>7</v>
      </c>
      <c r="H4" s="289" t="s">
        <v>8</v>
      </c>
      <c r="I4" s="649" t="s">
        <v>102</v>
      </c>
      <c r="J4" s="649" t="s">
        <v>103</v>
      </c>
      <c r="K4" s="649" t="s">
        <v>104</v>
      </c>
      <c r="L4" s="651" t="s">
        <v>127</v>
      </c>
    </row>
    <row r="5" spans="1:15" ht="21" customHeight="1" thickBot="1" x14ac:dyDescent="0.25">
      <c r="A5" s="640"/>
      <c r="B5" s="639"/>
      <c r="C5" s="639"/>
      <c r="D5" s="639"/>
      <c r="E5" s="642"/>
      <c r="F5" s="639"/>
      <c r="G5" s="648"/>
      <c r="H5" s="290"/>
      <c r="I5" s="650"/>
      <c r="J5" s="650"/>
      <c r="K5" s="650"/>
      <c r="L5" s="652"/>
    </row>
    <row r="6" spans="1:15" ht="35.1" customHeight="1" thickBot="1" x14ac:dyDescent="0.3">
      <c r="A6" s="294" t="s">
        <v>12</v>
      </c>
      <c r="B6" s="369">
        <v>5.9</v>
      </c>
      <c r="C6" s="370">
        <v>5.73</v>
      </c>
      <c r="D6" s="370">
        <v>3.72</v>
      </c>
      <c r="E6" s="371">
        <v>722531961.89999998</v>
      </c>
      <c r="F6" s="372">
        <v>-11411808.67</v>
      </c>
      <c r="G6" s="373">
        <f>SUM(F6/3)</f>
        <v>-3803936.2233333332</v>
      </c>
      <c r="H6" s="374">
        <v>189.94323760424601</v>
      </c>
      <c r="I6" s="375">
        <v>0</v>
      </c>
      <c r="J6" s="376">
        <v>1</v>
      </c>
      <c r="K6" s="375">
        <v>0</v>
      </c>
      <c r="L6" s="377">
        <f>SUM(I6:K6)</f>
        <v>1</v>
      </c>
    </row>
    <row r="7" spans="1:15" ht="35.1" customHeight="1" thickBot="1" x14ac:dyDescent="0.3">
      <c r="A7" s="294" t="s">
        <v>13</v>
      </c>
      <c r="B7" s="370">
        <v>4.5</v>
      </c>
      <c r="C7" s="370">
        <v>4.37</v>
      </c>
      <c r="D7" s="370">
        <v>1.45</v>
      </c>
      <c r="E7" s="371">
        <v>230237826.5</v>
      </c>
      <c r="F7" s="371">
        <v>17456035.170000002</v>
      </c>
      <c r="G7" s="373">
        <f t="shared" ref="G7:G21" si="0">SUM(F7/3)</f>
        <v>5818678.3900000006</v>
      </c>
      <c r="H7" s="374">
        <v>39.568749304943104</v>
      </c>
      <c r="I7" s="375">
        <v>0</v>
      </c>
      <c r="J7" s="375">
        <v>0</v>
      </c>
      <c r="K7" s="375">
        <v>0</v>
      </c>
      <c r="L7" s="378">
        <f t="shared" ref="L7:L21" si="1">SUM(I7:K7)</f>
        <v>0</v>
      </c>
    </row>
    <row r="8" spans="1:15" ht="35.1" customHeight="1" thickBot="1" x14ac:dyDescent="0.3">
      <c r="A8" s="294" t="s">
        <v>14</v>
      </c>
      <c r="B8" s="379">
        <v>1.41</v>
      </c>
      <c r="C8" s="370">
        <v>1.28</v>
      </c>
      <c r="D8" s="370">
        <v>1.06</v>
      </c>
      <c r="E8" s="371">
        <v>9300910.6899999995</v>
      </c>
      <c r="F8" s="372">
        <v>-160062.56</v>
      </c>
      <c r="G8" s="373">
        <f t="shared" si="0"/>
        <v>-53354.186666666668</v>
      </c>
      <c r="H8" s="374">
        <v>174.32391478681799</v>
      </c>
      <c r="I8" s="376">
        <v>1</v>
      </c>
      <c r="J8" s="376">
        <v>1</v>
      </c>
      <c r="K8" s="375">
        <v>0</v>
      </c>
      <c r="L8" s="377">
        <f t="shared" si="1"/>
        <v>2</v>
      </c>
      <c r="O8" s="380"/>
    </row>
    <row r="9" spans="1:15" ht="35.1" customHeight="1" thickBot="1" x14ac:dyDescent="0.3">
      <c r="A9" s="294" t="s">
        <v>15</v>
      </c>
      <c r="B9" s="370">
        <v>3.07</v>
      </c>
      <c r="C9" s="370">
        <v>2.93</v>
      </c>
      <c r="D9" s="381">
        <v>2.59</v>
      </c>
      <c r="E9" s="382">
        <v>29744815.050000001</v>
      </c>
      <c r="F9" s="383">
        <v>6002184.6100000003</v>
      </c>
      <c r="G9" s="373">
        <f t="shared" si="0"/>
        <v>2000728.2033333334</v>
      </c>
      <c r="H9" s="374">
        <v>14.866994427550605</v>
      </c>
      <c r="I9" s="375">
        <v>0</v>
      </c>
      <c r="J9" s="375">
        <v>0</v>
      </c>
      <c r="K9" s="375">
        <v>0</v>
      </c>
      <c r="L9" s="378">
        <f t="shared" si="1"/>
        <v>0</v>
      </c>
    </row>
    <row r="10" spans="1:15" ht="35.1" customHeight="1" thickBot="1" x14ac:dyDescent="0.3">
      <c r="A10" s="294" t="s">
        <v>16</v>
      </c>
      <c r="B10" s="370">
        <v>2.68</v>
      </c>
      <c r="C10" s="370">
        <v>2.4300000000000002</v>
      </c>
      <c r="D10" s="381">
        <v>2.17</v>
      </c>
      <c r="E10" s="384">
        <v>20674712.640000001</v>
      </c>
      <c r="F10" s="383">
        <v>5198127.91</v>
      </c>
      <c r="G10" s="373">
        <f t="shared" si="0"/>
        <v>1732709.3033333335</v>
      </c>
      <c r="H10" s="374">
        <v>11.932014562527376</v>
      </c>
      <c r="I10" s="375">
        <v>0</v>
      </c>
      <c r="J10" s="375">
        <v>0</v>
      </c>
      <c r="K10" s="375">
        <v>0</v>
      </c>
      <c r="L10" s="378">
        <f t="shared" si="1"/>
        <v>0</v>
      </c>
    </row>
    <row r="11" spans="1:15" ht="35.1" customHeight="1" thickBot="1" x14ac:dyDescent="0.3">
      <c r="A11" s="294" t="s">
        <v>17</v>
      </c>
      <c r="B11" s="385">
        <v>1.1100000000000001</v>
      </c>
      <c r="C11" s="379">
        <v>1</v>
      </c>
      <c r="D11" s="370">
        <v>0.85</v>
      </c>
      <c r="E11" s="386">
        <v>2072492.76</v>
      </c>
      <c r="F11" s="387">
        <v>1827784.72</v>
      </c>
      <c r="G11" s="373">
        <f t="shared" si="0"/>
        <v>609261.57333333336</v>
      </c>
      <c r="H11" s="374">
        <v>3.4016469291854019</v>
      </c>
      <c r="I11" s="376">
        <v>2</v>
      </c>
      <c r="J11" s="375">
        <v>0</v>
      </c>
      <c r="K11" s="388">
        <v>0</v>
      </c>
      <c r="L11" s="377">
        <f t="shared" si="1"/>
        <v>2</v>
      </c>
    </row>
    <row r="12" spans="1:15" ht="35.1" customHeight="1" thickBot="1" x14ac:dyDescent="0.3">
      <c r="A12" s="294" t="s">
        <v>18</v>
      </c>
      <c r="B12" s="370">
        <v>5.73</v>
      </c>
      <c r="C12" s="370">
        <v>5.17</v>
      </c>
      <c r="D12" s="370">
        <v>4.72</v>
      </c>
      <c r="E12" s="371">
        <v>113258364.23</v>
      </c>
      <c r="F12" s="371">
        <v>26821350.829999998</v>
      </c>
      <c r="G12" s="373">
        <f t="shared" si="0"/>
        <v>8940450.2766666654</v>
      </c>
      <c r="H12" s="374">
        <v>12.668082783882666</v>
      </c>
      <c r="I12" s="375">
        <v>0</v>
      </c>
      <c r="J12" s="375">
        <v>0</v>
      </c>
      <c r="K12" s="375">
        <v>0</v>
      </c>
      <c r="L12" s="378">
        <f t="shared" si="1"/>
        <v>0</v>
      </c>
    </row>
    <row r="13" spans="1:15" ht="35.1" customHeight="1" thickBot="1" x14ac:dyDescent="0.3">
      <c r="A13" s="294" t="s">
        <v>19</v>
      </c>
      <c r="B13" s="379">
        <v>1.1599999999999999</v>
      </c>
      <c r="C13" s="370">
        <v>1.04</v>
      </c>
      <c r="D13" s="379">
        <v>0.74</v>
      </c>
      <c r="E13" s="384">
        <v>3387293.96</v>
      </c>
      <c r="F13" s="372">
        <v>-5445615.1500000004</v>
      </c>
      <c r="G13" s="373">
        <f t="shared" si="0"/>
        <v>-1815205.05</v>
      </c>
      <c r="H13" s="374">
        <v>1.8660668446245201</v>
      </c>
      <c r="I13" s="376">
        <v>2</v>
      </c>
      <c r="J13" s="376">
        <v>1</v>
      </c>
      <c r="K13" s="376">
        <v>2</v>
      </c>
      <c r="L13" s="377">
        <f t="shared" si="1"/>
        <v>5</v>
      </c>
    </row>
    <row r="14" spans="1:15" ht="35.1" customHeight="1" thickBot="1" x14ac:dyDescent="0.3">
      <c r="A14" s="294" t="s">
        <v>20</v>
      </c>
      <c r="B14" s="370">
        <v>2.2200000000000002</v>
      </c>
      <c r="C14" s="370">
        <v>2.06</v>
      </c>
      <c r="D14" s="370">
        <v>1.86</v>
      </c>
      <c r="E14" s="371">
        <v>18472021.32</v>
      </c>
      <c r="F14" s="371">
        <v>1964951.29</v>
      </c>
      <c r="G14" s="373">
        <f t="shared" si="0"/>
        <v>654983.76333333331</v>
      </c>
      <c r="H14" s="374">
        <v>28.202258367432613</v>
      </c>
      <c r="I14" s="375">
        <v>0</v>
      </c>
      <c r="J14" s="375">
        <v>0</v>
      </c>
      <c r="K14" s="375">
        <v>0</v>
      </c>
      <c r="L14" s="378">
        <f t="shared" si="1"/>
        <v>0</v>
      </c>
    </row>
    <row r="15" spans="1:15" ht="35.1" customHeight="1" thickBot="1" x14ac:dyDescent="0.3">
      <c r="A15" s="294" t="s">
        <v>21</v>
      </c>
      <c r="B15" s="370">
        <v>2.79</v>
      </c>
      <c r="C15" s="370">
        <v>2.56</v>
      </c>
      <c r="D15" s="370">
        <v>2.27</v>
      </c>
      <c r="E15" s="371">
        <v>17363690.32</v>
      </c>
      <c r="F15" s="371">
        <v>4596209.58</v>
      </c>
      <c r="G15" s="373">
        <f t="shared" si="0"/>
        <v>1532069.86</v>
      </c>
      <c r="H15" s="374">
        <v>11.333484701539653</v>
      </c>
      <c r="I15" s="375">
        <v>0</v>
      </c>
      <c r="J15" s="375">
        <v>0</v>
      </c>
      <c r="K15" s="375">
        <v>0</v>
      </c>
      <c r="L15" s="378">
        <f t="shared" si="1"/>
        <v>0</v>
      </c>
    </row>
    <row r="16" spans="1:15" ht="35.1" customHeight="1" thickBot="1" x14ac:dyDescent="0.3">
      <c r="A16" s="294" t="s">
        <v>22</v>
      </c>
      <c r="B16" s="370">
        <v>1.88</v>
      </c>
      <c r="C16" s="370">
        <v>1.51</v>
      </c>
      <c r="D16" s="370">
        <v>1.1100000000000001</v>
      </c>
      <c r="E16" s="371">
        <v>9260164.5199999996</v>
      </c>
      <c r="F16" s="371">
        <v>9341344.2699999996</v>
      </c>
      <c r="G16" s="373">
        <f t="shared" si="0"/>
        <v>3113781.4233333333</v>
      </c>
      <c r="H16" s="374">
        <v>2.9739288861473465</v>
      </c>
      <c r="I16" s="376">
        <v>0</v>
      </c>
      <c r="J16" s="375">
        <v>0</v>
      </c>
      <c r="K16" s="375">
        <v>0</v>
      </c>
      <c r="L16" s="377">
        <f t="shared" si="1"/>
        <v>0</v>
      </c>
    </row>
    <row r="17" spans="1:13" ht="35.1" customHeight="1" thickBot="1" x14ac:dyDescent="0.3">
      <c r="A17" s="294" t="s">
        <v>23</v>
      </c>
      <c r="B17" s="370">
        <v>5.15</v>
      </c>
      <c r="C17" s="381">
        <v>4.97</v>
      </c>
      <c r="D17" s="370">
        <v>4.74</v>
      </c>
      <c r="E17" s="384">
        <v>125464581.8</v>
      </c>
      <c r="F17" s="371">
        <v>17949663.809999999</v>
      </c>
      <c r="G17" s="373">
        <f t="shared" si="0"/>
        <v>5983221.2699999996</v>
      </c>
      <c r="H17" s="374">
        <v>20.969403626952946</v>
      </c>
      <c r="I17" s="375">
        <v>0</v>
      </c>
      <c r="J17" s="375">
        <v>0</v>
      </c>
      <c r="K17" s="375">
        <v>0</v>
      </c>
      <c r="L17" s="378">
        <f t="shared" si="1"/>
        <v>0</v>
      </c>
    </row>
    <row r="18" spans="1:13" ht="35.1" customHeight="1" thickBot="1" x14ac:dyDescent="0.3">
      <c r="A18" s="294" t="s">
        <v>24</v>
      </c>
      <c r="B18" s="370">
        <v>5.05</v>
      </c>
      <c r="C18" s="370">
        <v>4.68</v>
      </c>
      <c r="D18" s="370">
        <v>4.2699999999999996</v>
      </c>
      <c r="E18" s="384">
        <v>19218512.010000002</v>
      </c>
      <c r="F18" s="371">
        <v>3400136.34</v>
      </c>
      <c r="G18" s="373">
        <f t="shared" si="0"/>
        <v>1133378.78</v>
      </c>
      <c r="H18" s="374">
        <v>16.956830628150637</v>
      </c>
      <c r="I18" s="375">
        <v>0</v>
      </c>
      <c r="J18" s="375">
        <v>0</v>
      </c>
      <c r="K18" s="375">
        <v>0</v>
      </c>
      <c r="L18" s="378">
        <f t="shared" si="1"/>
        <v>0</v>
      </c>
    </row>
    <row r="19" spans="1:13" ht="35.1" customHeight="1" thickBot="1" x14ac:dyDescent="0.3">
      <c r="A19" s="294" t="s">
        <v>26</v>
      </c>
      <c r="B19" s="379">
        <v>0.73</v>
      </c>
      <c r="C19" s="379">
        <v>0.65</v>
      </c>
      <c r="D19" s="379">
        <v>0.5</v>
      </c>
      <c r="E19" s="389">
        <v>-5558736.6900000004</v>
      </c>
      <c r="F19" s="371">
        <v>407979.17</v>
      </c>
      <c r="G19" s="373">
        <f t="shared" si="0"/>
        <v>135993.05666666667</v>
      </c>
      <c r="H19" s="374">
        <v>40.875150733798499</v>
      </c>
      <c r="I19" s="376">
        <v>3</v>
      </c>
      <c r="J19" s="376">
        <v>1</v>
      </c>
      <c r="K19" s="375">
        <v>0</v>
      </c>
      <c r="L19" s="377">
        <f t="shared" si="1"/>
        <v>4</v>
      </c>
    </row>
    <row r="20" spans="1:13" ht="35.1" customHeight="1" thickBot="1" x14ac:dyDescent="0.3">
      <c r="A20" s="294" t="s">
        <v>25</v>
      </c>
      <c r="B20" s="370">
        <v>1.87</v>
      </c>
      <c r="C20" s="370">
        <v>1.71</v>
      </c>
      <c r="D20" s="370">
        <v>1.22</v>
      </c>
      <c r="E20" s="371">
        <v>12674055.470000001</v>
      </c>
      <c r="F20" s="371">
        <v>2004062.21</v>
      </c>
      <c r="G20" s="373">
        <f t="shared" si="0"/>
        <v>668020.73666666669</v>
      </c>
      <c r="H20" s="374">
        <v>18.972547967959539</v>
      </c>
      <c r="I20" s="375">
        <v>0</v>
      </c>
      <c r="J20" s="375">
        <v>0</v>
      </c>
      <c r="K20" s="375">
        <v>0</v>
      </c>
      <c r="L20" s="378">
        <f t="shared" si="1"/>
        <v>0</v>
      </c>
    </row>
    <row r="21" spans="1:13" ht="35.1" customHeight="1" thickBot="1" x14ac:dyDescent="0.3">
      <c r="A21" s="294" t="s">
        <v>27</v>
      </c>
      <c r="B21" s="379">
        <v>1.25</v>
      </c>
      <c r="C21" s="370">
        <v>1.04</v>
      </c>
      <c r="D21" s="379">
        <v>0.71</v>
      </c>
      <c r="E21" s="371">
        <v>2207253.89</v>
      </c>
      <c r="F21" s="372">
        <v>-1452035.16</v>
      </c>
      <c r="G21" s="373">
        <f t="shared" si="0"/>
        <v>-484011.72</v>
      </c>
      <c r="H21" s="374">
        <v>4.5603314936258199</v>
      </c>
      <c r="I21" s="376">
        <v>2</v>
      </c>
      <c r="J21" s="376">
        <v>1</v>
      </c>
      <c r="K21" s="376">
        <v>1</v>
      </c>
      <c r="L21" s="377">
        <f t="shared" si="1"/>
        <v>4</v>
      </c>
    </row>
    <row r="22" spans="1:13" ht="9" customHeight="1" x14ac:dyDescent="0.2"/>
    <row r="23" spans="1:13" ht="22.5" customHeight="1" x14ac:dyDescent="0.55000000000000004">
      <c r="A23" s="14"/>
      <c r="B23" s="15"/>
      <c r="C23" s="15"/>
      <c r="D23" s="15"/>
      <c r="E23" s="16"/>
      <c r="F23" s="16"/>
      <c r="G23" s="17" t="s">
        <v>28</v>
      </c>
      <c r="H23" s="18"/>
      <c r="I23" s="19"/>
      <c r="J23" s="20"/>
      <c r="K23" s="21"/>
      <c r="L23" s="21"/>
      <c r="M23" s="41"/>
    </row>
    <row r="24" spans="1:13" ht="26.25" x14ac:dyDescent="0.55000000000000004">
      <c r="A24" s="288" t="s">
        <v>29</v>
      </c>
      <c r="B24" s="16"/>
      <c r="C24" s="16"/>
      <c r="D24" s="16"/>
      <c r="E24" s="16"/>
      <c r="F24" s="16"/>
      <c r="G24" s="23" t="s">
        <v>30</v>
      </c>
      <c r="H24" s="643" t="s">
        <v>31</v>
      </c>
      <c r="I24" s="643"/>
      <c r="J24" s="24" t="s">
        <v>32</v>
      </c>
      <c r="K24" s="25"/>
      <c r="L24" s="41"/>
      <c r="M24" s="41"/>
    </row>
    <row r="25" spans="1:13" ht="26.25" x14ac:dyDescent="0.55000000000000004">
      <c r="A25" s="288"/>
      <c r="B25" s="16"/>
      <c r="C25" s="16"/>
      <c r="D25" s="16"/>
      <c r="E25" s="16"/>
      <c r="F25" s="16"/>
      <c r="G25" s="27" t="s">
        <v>33</v>
      </c>
      <c r="H25" s="643"/>
      <c r="I25" s="643"/>
      <c r="J25" s="24" t="s">
        <v>34</v>
      </c>
      <c r="K25" s="25"/>
      <c r="L25" s="41"/>
      <c r="M25" s="41"/>
    </row>
    <row r="26" spans="1:13" ht="26.25" x14ac:dyDescent="0.55000000000000004">
      <c r="A26" s="28" t="s">
        <v>35</v>
      </c>
      <c r="B26" s="16"/>
      <c r="C26" s="16"/>
      <c r="D26" s="16"/>
      <c r="E26" s="16"/>
      <c r="F26" s="16"/>
      <c r="G26" s="29" t="s">
        <v>108</v>
      </c>
      <c r="H26" s="643" t="s">
        <v>31</v>
      </c>
      <c r="I26" s="643"/>
      <c r="J26" s="644" t="s">
        <v>37</v>
      </c>
      <c r="K26" s="645"/>
      <c r="L26" s="645"/>
      <c r="M26" s="41"/>
    </row>
    <row r="27" spans="1:13" ht="26.25" x14ac:dyDescent="0.55000000000000004">
      <c r="A27" s="288"/>
      <c r="B27" s="16"/>
      <c r="C27" s="16"/>
      <c r="D27" s="16"/>
      <c r="E27" s="16"/>
      <c r="F27" s="16"/>
      <c r="G27" s="27" t="s">
        <v>33</v>
      </c>
      <c r="H27" s="643"/>
      <c r="I27" s="643"/>
      <c r="J27" s="24" t="s">
        <v>34</v>
      </c>
      <c r="K27" s="30"/>
      <c r="L27" s="34"/>
      <c r="M27" s="41"/>
    </row>
    <row r="28" spans="1:13" ht="26.25" x14ac:dyDescent="0.55000000000000004">
      <c r="A28" s="288" t="s">
        <v>38</v>
      </c>
      <c r="B28" s="16"/>
      <c r="C28" s="16"/>
      <c r="D28" s="16"/>
      <c r="E28" s="16"/>
      <c r="F28" s="27" t="s">
        <v>39</v>
      </c>
      <c r="G28" s="646" t="s">
        <v>31</v>
      </c>
      <c r="H28" s="646"/>
      <c r="I28" s="32" t="s">
        <v>40</v>
      </c>
      <c r="J28" s="33"/>
      <c r="K28" s="34"/>
      <c r="L28" s="34"/>
      <c r="M28" s="41"/>
    </row>
    <row r="29" spans="1:13" ht="26.25" x14ac:dyDescent="0.55000000000000004">
      <c r="A29" s="35" t="s">
        <v>41</v>
      </c>
      <c r="B29" s="16"/>
      <c r="C29" s="16"/>
      <c r="D29" s="16"/>
      <c r="E29" s="16"/>
      <c r="F29" s="36" t="s">
        <v>109</v>
      </c>
      <c r="G29" s="37"/>
      <c r="H29" s="38"/>
      <c r="I29" s="32" t="s">
        <v>43</v>
      </c>
      <c r="J29" s="33"/>
      <c r="K29" s="31"/>
      <c r="L29" s="34"/>
      <c r="M29" s="41"/>
    </row>
    <row r="30" spans="1:13" ht="12.75" customHeight="1" x14ac:dyDescent="0.55000000000000004">
      <c r="F30" s="16"/>
      <c r="G30" s="39"/>
      <c r="H30" s="40"/>
      <c r="I30" s="39"/>
      <c r="J30" s="39"/>
      <c r="K30" s="41"/>
      <c r="L30" s="41"/>
      <c r="M30" s="41"/>
    </row>
    <row r="31" spans="1:13" ht="26.25" x14ac:dyDescent="0.55000000000000004">
      <c r="A31" s="39"/>
      <c r="B31" s="16"/>
      <c r="C31" s="16"/>
      <c r="D31" s="16"/>
      <c r="E31" s="16"/>
      <c r="F31" s="16"/>
      <c r="G31" s="23" t="s">
        <v>110</v>
      </c>
      <c r="H31" s="643" t="s">
        <v>31</v>
      </c>
      <c r="I31" s="643"/>
      <c r="J31" s="24" t="s">
        <v>32</v>
      </c>
      <c r="K31" s="25"/>
      <c r="L31" s="41"/>
      <c r="M31" s="41"/>
    </row>
    <row r="32" spans="1:13" ht="26.25" x14ac:dyDescent="0.55000000000000004">
      <c r="A32" s="39"/>
      <c r="B32" s="16"/>
      <c r="C32" s="16"/>
      <c r="D32" s="16"/>
      <c r="E32" s="16"/>
      <c r="F32" s="16"/>
      <c r="G32" s="27" t="s">
        <v>33</v>
      </c>
      <c r="H32" s="643"/>
      <c r="I32" s="643"/>
      <c r="J32" s="24" t="s">
        <v>34</v>
      </c>
      <c r="K32" s="25"/>
      <c r="L32" s="41"/>
      <c r="M32" s="41"/>
    </row>
    <row r="33" spans="1:13" ht="26.25" x14ac:dyDescent="0.55000000000000004">
      <c r="A33" s="42" t="s">
        <v>111</v>
      </c>
      <c r="B33" s="16"/>
      <c r="C33" s="16"/>
      <c r="D33" s="16"/>
      <c r="E33" s="16"/>
      <c r="F33" s="43"/>
      <c r="G33" s="39"/>
      <c r="H33" s="40"/>
      <c r="I33" s="39"/>
      <c r="J33" s="39"/>
      <c r="K33" s="41"/>
      <c r="L33" s="41"/>
      <c r="M33" s="41"/>
    </row>
    <row r="34" spans="1:13" ht="26.25" x14ac:dyDescent="0.55000000000000004">
      <c r="A34" s="288" t="s">
        <v>46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  <c r="M34" s="41"/>
    </row>
    <row r="35" spans="1:13" ht="26.25" x14ac:dyDescent="0.55000000000000004">
      <c r="A35" s="42" t="s">
        <v>112</v>
      </c>
      <c r="B35" s="16"/>
      <c r="C35" s="16"/>
      <c r="D35" s="16"/>
      <c r="E35" s="16"/>
      <c r="F35" s="16"/>
      <c r="G35" s="39"/>
      <c r="H35" s="40"/>
      <c r="I35" s="39"/>
      <c r="J35" s="39"/>
      <c r="K35" s="41"/>
      <c r="L35" s="41"/>
      <c r="M35" s="41"/>
    </row>
    <row r="36" spans="1:13" ht="26.25" x14ac:dyDescent="0.55000000000000004">
      <c r="A36" s="42" t="s">
        <v>113</v>
      </c>
      <c r="B36" s="16"/>
      <c r="C36" s="16"/>
      <c r="D36" s="16"/>
      <c r="E36" s="16"/>
      <c r="F36" s="16"/>
      <c r="G36" s="39"/>
      <c r="H36" s="40"/>
      <c r="I36" s="39"/>
      <c r="J36" s="39"/>
      <c r="K36" s="41"/>
      <c r="L36" s="41"/>
      <c r="M36" s="41"/>
    </row>
    <row r="37" spans="1:13" ht="26.25" x14ac:dyDescent="0.55000000000000004">
      <c r="A37" s="42" t="s">
        <v>114</v>
      </c>
      <c r="B37" s="16"/>
      <c r="C37" s="288"/>
      <c r="D37" s="44"/>
      <c r="E37" s="44"/>
      <c r="F37" s="44"/>
      <c r="G37" s="45"/>
      <c r="H37" s="40"/>
      <c r="I37" s="39"/>
      <c r="J37" s="39"/>
      <c r="K37" s="41"/>
      <c r="L37" s="41"/>
      <c r="M37" s="41"/>
    </row>
    <row r="38" spans="1:13" ht="26.25" x14ac:dyDescent="0.55000000000000004">
      <c r="A38" s="39"/>
      <c r="B38" s="16"/>
      <c r="C38" s="288" t="s">
        <v>50</v>
      </c>
      <c r="D38" s="16"/>
      <c r="E38" s="16"/>
      <c r="F38" s="16"/>
      <c r="G38" s="39"/>
      <c r="H38" s="40"/>
      <c r="I38" s="39"/>
      <c r="J38" s="39"/>
      <c r="K38" s="41"/>
      <c r="L38" s="41"/>
      <c r="M38" s="41"/>
    </row>
    <row r="39" spans="1:13" ht="26.25" x14ac:dyDescent="0.55000000000000004">
      <c r="A39" s="39"/>
      <c r="B39" s="16"/>
      <c r="C39" s="288" t="s">
        <v>51</v>
      </c>
      <c r="D39" s="16"/>
      <c r="E39" s="16"/>
      <c r="F39" s="16"/>
      <c r="G39" s="39"/>
      <c r="H39" s="40"/>
      <c r="I39" s="39"/>
      <c r="J39" s="39"/>
      <c r="K39" s="41"/>
      <c r="L39" s="41"/>
      <c r="M39" s="41"/>
    </row>
    <row r="40" spans="1:13" ht="26.25" x14ac:dyDescent="0.55000000000000004">
      <c r="A40" s="39"/>
      <c r="B40" s="16"/>
      <c r="C40" s="288" t="s">
        <v>52</v>
      </c>
      <c r="D40" s="16"/>
      <c r="E40" s="16"/>
      <c r="F40" s="16"/>
      <c r="G40" s="39"/>
      <c r="H40" s="40"/>
      <c r="I40" s="39"/>
      <c r="J40" s="39"/>
      <c r="K40" s="41"/>
      <c r="L40" s="41"/>
      <c r="M40" s="41"/>
    </row>
    <row r="41" spans="1:13" ht="26.25" x14ac:dyDescent="0.55000000000000004">
      <c r="A41" s="41" t="s">
        <v>53</v>
      </c>
      <c r="B41" s="16"/>
      <c r="C41" s="16"/>
      <c r="D41" s="16"/>
      <c r="E41" s="16"/>
      <c r="F41" s="16"/>
      <c r="G41" s="39"/>
      <c r="H41" s="40"/>
      <c r="I41" s="39"/>
      <c r="J41" s="39"/>
      <c r="K41" s="41"/>
      <c r="L41" s="41"/>
      <c r="M41" s="41"/>
    </row>
    <row r="42" spans="1:13" ht="26.25" x14ac:dyDescent="0.55000000000000004">
      <c r="A42" s="42" t="s">
        <v>115</v>
      </c>
      <c r="B42" s="16"/>
      <c r="C42" s="16"/>
      <c r="D42" s="16"/>
      <c r="E42" s="16"/>
      <c r="F42" s="16"/>
      <c r="G42" s="39"/>
      <c r="H42" s="40"/>
      <c r="I42" s="39"/>
      <c r="J42" s="39"/>
      <c r="K42" s="41"/>
      <c r="L42" s="41"/>
      <c r="M42" s="41"/>
    </row>
    <row r="43" spans="1:13" ht="30" x14ac:dyDescent="0.6">
      <c r="A43" s="390"/>
      <c r="B43" s="391"/>
      <c r="C43" s="391"/>
      <c r="D43" s="391"/>
      <c r="E43" s="391"/>
      <c r="F43" s="391"/>
      <c r="G43" s="391"/>
      <c r="H43" s="392"/>
      <c r="I43" s="39"/>
      <c r="J43" s="39"/>
      <c r="K43" s="39"/>
      <c r="L43" s="39"/>
      <c r="M43" s="41"/>
    </row>
    <row r="44" spans="1:13" ht="26.25" x14ac:dyDescent="0.35">
      <c r="A44" s="393"/>
      <c r="B44" s="393"/>
      <c r="C44" s="393"/>
      <c r="D44" s="393"/>
      <c r="E44" s="393"/>
      <c r="F44" s="393"/>
      <c r="G44" s="393"/>
      <c r="H44" s="393"/>
    </row>
    <row r="45" spans="1:13" ht="26.25" x14ac:dyDescent="0.35">
      <c r="A45" s="393"/>
      <c r="B45" s="393"/>
      <c r="C45" s="393"/>
      <c r="D45" s="393"/>
      <c r="E45" s="393"/>
      <c r="F45" s="393"/>
      <c r="G45" s="393"/>
      <c r="H45" s="393"/>
    </row>
  </sheetData>
  <mergeCells count="16">
    <mergeCell ref="H26:I27"/>
    <mergeCell ref="J26:L26"/>
    <mergeCell ref="G28:H28"/>
    <mergeCell ref="H31:I32"/>
    <mergeCell ref="G4:G5"/>
    <mergeCell ref="I4:I5"/>
    <mergeCell ref="J4:J5"/>
    <mergeCell ref="K4:K5"/>
    <mergeCell ref="L4:L5"/>
    <mergeCell ref="H24:I2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19" zoomScale="70" zoomScaleNormal="70" workbookViewId="0">
      <selection activeCell="L4" sqref="L4:L19"/>
    </sheetView>
  </sheetViews>
  <sheetFormatPr defaultRowHeight="21" x14ac:dyDescent="0.35"/>
  <cols>
    <col min="1" max="1" width="23.375" style="12" customWidth="1"/>
    <col min="2" max="2" width="11.25" style="12" bestFit="1" customWidth="1"/>
    <col min="3" max="3" width="12.25" style="12" customWidth="1"/>
    <col min="4" max="4" width="12.5" style="12" customWidth="1"/>
    <col min="5" max="5" width="19.5" style="12" customWidth="1"/>
    <col min="6" max="6" width="19.25" style="12" customWidth="1"/>
    <col min="7" max="7" width="21.375" style="12" customWidth="1"/>
    <col min="8" max="8" width="12.25" style="12" customWidth="1"/>
    <col min="9" max="9" width="10.375" style="12" customWidth="1"/>
    <col min="10" max="10" width="8.375" style="12" customWidth="1"/>
    <col min="11" max="11" width="8.875" style="12" customWidth="1"/>
    <col min="12" max="12" width="9.75" style="12" customWidth="1"/>
    <col min="13" max="13" width="11.5" style="12" hidden="1" customWidth="1"/>
    <col min="14" max="14" width="15.75" style="12" customWidth="1"/>
    <col min="15" max="16384" width="9" style="12"/>
  </cols>
  <sheetData>
    <row r="1" spans="1:14" ht="41.25" customHeight="1" thickBot="1" x14ac:dyDescent="0.4">
      <c r="A1" s="12" t="s">
        <v>65</v>
      </c>
      <c r="E1" s="84"/>
      <c r="H1" s="85" t="s">
        <v>0</v>
      </c>
    </row>
    <row r="2" spans="1:14" ht="41.25" customHeight="1" x14ac:dyDescent="0.35">
      <c r="A2" s="688" t="s">
        <v>1</v>
      </c>
      <c r="B2" s="688" t="s">
        <v>2</v>
      </c>
      <c r="C2" s="688" t="s">
        <v>3</v>
      </c>
      <c r="D2" s="688" t="s">
        <v>4</v>
      </c>
      <c r="E2" s="691" t="s">
        <v>5</v>
      </c>
      <c r="F2" s="688" t="s">
        <v>6</v>
      </c>
      <c r="G2" s="695" t="s">
        <v>7</v>
      </c>
      <c r="H2" s="127" t="s">
        <v>8</v>
      </c>
      <c r="I2" s="688" t="s">
        <v>9</v>
      </c>
      <c r="J2" s="688" t="s">
        <v>10</v>
      </c>
      <c r="K2" s="688" t="s">
        <v>11</v>
      </c>
      <c r="L2" s="681" t="s">
        <v>66</v>
      </c>
      <c r="M2" s="683" t="s">
        <v>67</v>
      </c>
    </row>
    <row r="3" spans="1:14" ht="29.25" thickBot="1" x14ac:dyDescent="0.4">
      <c r="A3" s="690"/>
      <c r="B3" s="690"/>
      <c r="C3" s="690"/>
      <c r="D3" s="690"/>
      <c r="E3" s="692"/>
      <c r="F3" s="690"/>
      <c r="G3" s="696"/>
      <c r="H3" s="128"/>
      <c r="I3" s="689"/>
      <c r="J3" s="689"/>
      <c r="K3" s="689"/>
      <c r="L3" s="682"/>
      <c r="M3" s="684"/>
    </row>
    <row r="4" spans="1:14" ht="35.1" customHeight="1" thickBot="1" x14ac:dyDescent="0.5">
      <c r="A4" s="129" t="s">
        <v>12</v>
      </c>
      <c r="B4" s="130">
        <v>4.34</v>
      </c>
      <c r="C4" s="130">
        <v>4.18</v>
      </c>
      <c r="D4" s="130">
        <v>3.06</v>
      </c>
      <c r="E4" s="130">
        <v>609131861.84000003</v>
      </c>
      <c r="F4" s="130">
        <v>101873557.02</v>
      </c>
      <c r="G4" s="131">
        <f>SUM(F4/4)</f>
        <v>25468389.254999999</v>
      </c>
      <c r="H4" s="132">
        <f>SUM(E4/G4)</f>
        <v>23.917172607231695</v>
      </c>
      <c r="I4" s="133">
        <v>0</v>
      </c>
      <c r="J4" s="134">
        <v>0</v>
      </c>
      <c r="K4" s="134">
        <v>0</v>
      </c>
      <c r="L4" s="134">
        <f>SUM(I4:K4)</f>
        <v>0</v>
      </c>
      <c r="M4" s="86">
        <v>0</v>
      </c>
      <c r="N4" s="415" t="s">
        <v>12</v>
      </c>
    </row>
    <row r="5" spans="1:14" ht="35.1" customHeight="1" thickBot="1" x14ac:dyDescent="0.5">
      <c r="A5" s="129" t="s">
        <v>13</v>
      </c>
      <c r="B5" s="130">
        <v>1.71</v>
      </c>
      <c r="C5" s="130">
        <v>1.41</v>
      </c>
      <c r="D5" s="135">
        <v>0.75</v>
      </c>
      <c r="E5" s="130">
        <v>55574140.579999998</v>
      </c>
      <c r="F5" s="135">
        <v>-5848150.2400000002</v>
      </c>
      <c r="G5" s="131">
        <f t="shared" ref="G5:G19" si="0">SUM(F5/4)</f>
        <v>-1462037.56</v>
      </c>
      <c r="H5" s="132">
        <f t="shared" ref="H5:H19" si="1">SUM(E5/G5)</f>
        <v>-38.011431512060469</v>
      </c>
      <c r="I5" s="136">
        <v>1</v>
      </c>
      <c r="J5" s="137">
        <v>1</v>
      </c>
      <c r="K5" s="134">
        <v>0</v>
      </c>
      <c r="L5" s="137">
        <f t="shared" ref="L5:L19" si="2">SUM(I5:K5)</f>
        <v>2</v>
      </c>
      <c r="M5" s="87">
        <v>2</v>
      </c>
      <c r="N5" s="415" t="s">
        <v>13</v>
      </c>
    </row>
    <row r="6" spans="1:14" ht="35.1" customHeight="1" thickBot="1" x14ac:dyDescent="0.5">
      <c r="A6" s="129" t="s">
        <v>14</v>
      </c>
      <c r="B6" s="135">
        <v>1.1499999999999999</v>
      </c>
      <c r="C6" s="130">
        <v>1.07</v>
      </c>
      <c r="D6" s="130">
        <v>0.89</v>
      </c>
      <c r="E6" s="130">
        <v>4017172.57</v>
      </c>
      <c r="F6" s="130">
        <v>2185500.04</v>
      </c>
      <c r="G6" s="131">
        <f t="shared" si="0"/>
        <v>546375.01</v>
      </c>
      <c r="H6" s="132">
        <f t="shared" si="1"/>
        <v>7.3524090532617876</v>
      </c>
      <c r="I6" s="136">
        <v>1</v>
      </c>
      <c r="J6" s="138">
        <v>0</v>
      </c>
      <c r="K6" s="138">
        <v>0</v>
      </c>
      <c r="L6" s="137">
        <f t="shared" si="2"/>
        <v>1</v>
      </c>
      <c r="M6" s="87">
        <v>3</v>
      </c>
      <c r="N6" s="415" t="s">
        <v>14</v>
      </c>
    </row>
    <row r="7" spans="1:14" ht="35.1" customHeight="1" thickBot="1" x14ac:dyDescent="0.5">
      <c r="A7" s="129" t="s">
        <v>15</v>
      </c>
      <c r="B7" s="130">
        <v>1.61</v>
      </c>
      <c r="C7" s="130">
        <v>1.49</v>
      </c>
      <c r="D7" s="130">
        <v>1.21</v>
      </c>
      <c r="E7" s="130">
        <v>12088264.5</v>
      </c>
      <c r="F7" s="135">
        <v>-1989190.17</v>
      </c>
      <c r="G7" s="131">
        <f t="shared" si="0"/>
        <v>-497297.54249999998</v>
      </c>
      <c r="H7" s="132">
        <f t="shared" si="1"/>
        <v>-24.307911193830201</v>
      </c>
      <c r="I7" s="133">
        <v>0</v>
      </c>
      <c r="J7" s="137">
        <v>1</v>
      </c>
      <c r="K7" s="134">
        <v>0</v>
      </c>
      <c r="L7" s="137">
        <f t="shared" si="2"/>
        <v>1</v>
      </c>
      <c r="M7" s="87">
        <v>1</v>
      </c>
      <c r="N7" s="415" t="s">
        <v>15</v>
      </c>
    </row>
    <row r="8" spans="1:14" ht="35.1" customHeight="1" thickBot="1" x14ac:dyDescent="0.5">
      <c r="A8" s="129" t="s">
        <v>16</v>
      </c>
      <c r="B8" s="130">
        <v>1.86</v>
      </c>
      <c r="C8" s="130">
        <v>1.63</v>
      </c>
      <c r="D8" s="130">
        <v>1.32</v>
      </c>
      <c r="E8" s="130">
        <v>11731349.630000001</v>
      </c>
      <c r="F8" s="135">
        <v>-831512.66</v>
      </c>
      <c r="G8" s="131">
        <f t="shared" si="0"/>
        <v>-207878.16500000001</v>
      </c>
      <c r="H8" s="132">
        <f t="shared" si="1"/>
        <v>-56.433775187499855</v>
      </c>
      <c r="I8" s="133">
        <v>0</v>
      </c>
      <c r="J8" s="137">
        <v>1</v>
      </c>
      <c r="K8" s="134">
        <v>0</v>
      </c>
      <c r="L8" s="137">
        <f t="shared" si="2"/>
        <v>1</v>
      </c>
      <c r="M8" s="87">
        <v>1</v>
      </c>
      <c r="N8" s="415" t="s">
        <v>16</v>
      </c>
    </row>
    <row r="9" spans="1:14" ht="35.1" customHeight="1" thickBot="1" x14ac:dyDescent="0.5">
      <c r="A9" s="129" t="s">
        <v>17</v>
      </c>
      <c r="B9" s="135">
        <v>1.17</v>
      </c>
      <c r="C9" s="130">
        <v>1.03</v>
      </c>
      <c r="D9" s="130">
        <v>0.93</v>
      </c>
      <c r="E9" s="130">
        <v>3510610.51</v>
      </c>
      <c r="F9" s="130">
        <v>4453946.18</v>
      </c>
      <c r="G9" s="131">
        <f t="shared" si="0"/>
        <v>1113486.5449999999</v>
      </c>
      <c r="H9" s="132">
        <f t="shared" si="1"/>
        <v>3.1528090983802595</v>
      </c>
      <c r="I9" s="136">
        <v>1</v>
      </c>
      <c r="J9" s="134">
        <v>0</v>
      </c>
      <c r="K9" s="134">
        <v>0</v>
      </c>
      <c r="L9" s="137">
        <f t="shared" si="2"/>
        <v>1</v>
      </c>
      <c r="M9" s="87">
        <v>2</v>
      </c>
      <c r="N9" s="415" t="s">
        <v>17</v>
      </c>
    </row>
    <row r="10" spans="1:14" ht="35.1" customHeight="1" thickBot="1" x14ac:dyDescent="0.5">
      <c r="A10" s="129" t="s">
        <v>18</v>
      </c>
      <c r="B10" s="130">
        <v>2.74</v>
      </c>
      <c r="C10" s="130">
        <v>2.58</v>
      </c>
      <c r="D10" s="130">
        <v>2.23</v>
      </c>
      <c r="E10" s="130">
        <v>60572332.520000003</v>
      </c>
      <c r="F10" s="130">
        <v>1589318.56</v>
      </c>
      <c r="G10" s="131">
        <f t="shared" si="0"/>
        <v>397329.64</v>
      </c>
      <c r="H10" s="132">
        <f t="shared" si="1"/>
        <v>152.44856265945828</v>
      </c>
      <c r="I10" s="133">
        <v>0</v>
      </c>
      <c r="J10" s="134">
        <v>0</v>
      </c>
      <c r="K10" s="134">
        <v>0</v>
      </c>
      <c r="L10" s="134">
        <f t="shared" si="2"/>
        <v>0</v>
      </c>
      <c r="M10" s="86">
        <v>0</v>
      </c>
      <c r="N10" s="415" t="s">
        <v>18</v>
      </c>
    </row>
    <row r="11" spans="1:14" ht="35.1" customHeight="1" thickBot="1" x14ac:dyDescent="0.5">
      <c r="A11" s="129" t="s">
        <v>19</v>
      </c>
      <c r="B11" s="135">
        <v>0.93</v>
      </c>
      <c r="C11" s="135">
        <v>0.77</v>
      </c>
      <c r="D11" s="135">
        <v>0.6</v>
      </c>
      <c r="E11" s="135">
        <v>-2151256.9500000002</v>
      </c>
      <c r="F11" s="130">
        <v>2586193.3199999998</v>
      </c>
      <c r="G11" s="131">
        <f t="shared" si="0"/>
        <v>646548.32999999996</v>
      </c>
      <c r="H11" s="132">
        <f t="shared" si="1"/>
        <v>-3.3272948829672182</v>
      </c>
      <c r="I11" s="136">
        <v>3</v>
      </c>
      <c r="J11" s="137">
        <v>1</v>
      </c>
      <c r="K11" s="138">
        <v>0</v>
      </c>
      <c r="L11" s="137">
        <f t="shared" si="2"/>
        <v>4</v>
      </c>
      <c r="M11" s="87">
        <v>7</v>
      </c>
      <c r="N11" s="415" t="s">
        <v>19</v>
      </c>
    </row>
    <row r="12" spans="1:14" ht="35.1" customHeight="1" thickBot="1" x14ac:dyDescent="0.5">
      <c r="A12" s="129" t="s">
        <v>20</v>
      </c>
      <c r="B12" s="135">
        <v>1.2</v>
      </c>
      <c r="C12" s="130">
        <v>1.08</v>
      </c>
      <c r="D12" s="130">
        <v>0.93</v>
      </c>
      <c r="E12" s="130">
        <v>4331437.32</v>
      </c>
      <c r="F12" s="130">
        <v>6240219.6600000001</v>
      </c>
      <c r="G12" s="131">
        <f t="shared" si="0"/>
        <v>1560054.915</v>
      </c>
      <c r="H12" s="132">
        <f t="shared" si="1"/>
        <v>2.77646464772043</v>
      </c>
      <c r="I12" s="136">
        <v>1</v>
      </c>
      <c r="J12" s="134">
        <v>0</v>
      </c>
      <c r="K12" s="134">
        <v>0</v>
      </c>
      <c r="L12" s="137">
        <f t="shared" si="2"/>
        <v>1</v>
      </c>
      <c r="M12" s="87">
        <v>1</v>
      </c>
      <c r="N12" s="415" t="s">
        <v>20</v>
      </c>
    </row>
    <row r="13" spans="1:14" ht="35.1" customHeight="1" thickBot="1" x14ac:dyDescent="0.5">
      <c r="A13" s="129" t="s">
        <v>21</v>
      </c>
      <c r="B13" s="130">
        <v>1.58</v>
      </c>
      <c r="C13" s="130">
        <v>1.38</v>
      </c>
      <c r="D13" s="130">
        <v>1.04</v>
      </c>
      <c r="E13" s="130">
        <v>8206529.6299999999</v>
      </c>
      <c r="F13" s="130">
        <v>2499211.89</v>
      </c>
      <c r="G13" s="131">
        <f t="shared" si="0"/>
        <v>624802.97250000003</v>
      </c>
      <c r="H13" s="132">
        <f t="shared" si="1"/>
        <v>13.134588008062012</v>
      </c>
      <c r="I13" s="136">
        <v>0</v>
      </c>
      <c r="J13" s="137">
        <v>0</v>
      </c>
      <c r="K13" s="134">
        <v>0</v>
      </c>
      <c r="L13" s="134">
        <f t="shared" si="2"/>
        <v>0</v>
      </c>
      <c r="M13" s="87">
        <v>2</v>
      </c>
      <c r="N13" s="415" t="s">
        <v>21</v>
      </c>
    </row>
    <row r="14" spans="1:14" ht="35.1" customHeight="1" thickBot="1" x14ac:dyDescent="0.5">
      <c r="A14" s="129" t="s">
        <v>22</v>
      </c>
      <c r="B14" s="135">
        <v>0.9</v>
      </c>
      <c r="C14" s="135">
        <v>0.74</v>
      </c>
      <c r="D14" s="135">
        <v>0.6</v>
      </c>
      <c r="E14" s="135">
        <v>-1790825.72</v>
      </c>
      <c r="F14" s="130">
        <v>1919776.19</v>
      </c>
      <c r="G14" s="131">
        <f t="shared" si="0"/>
        <v>479944.04749999999</v>
      </c>
      <c r="H14" s="132">
        <f t="shared" si="1"/>
        <v>-3.7313218683059093</v>
      </c>
      <c r="I14" s="136">
        <v>3</v>
      </c>
      <c r="J14" s="137">
        <v>1</v>
      </c>
      <c r="K14" s="138">
        <v>0</v>
      </c>
      <c r="L14" s="137">
        <f t="shared" si="2"/>
        <v>4</v>
      </c>
      <c r="M14" s="87">
        <v>7</v>
      </c>
      <c r="N14" s="415" t="s">
        <v>22</v>
      </c>
    </row>
    <row r="15" spans="1:14" ht="35.1" customHeight="1" thickBot="1" x14ac:dyDescent="0.5">
      <c r="A15" s="129" t="s">
        <v>23</v>
      </c>
      <c r="B15" s="130">
        <v>3.72</v>
      </c>
      <c r="C15" s="130">
        <v>3.38</v>
      </c>
      <c r="D15" s="130">
        <v>3.22</v>
      </c>
      <c r="E15" s="130">
        <v>109831720.89</v>
      </c>
      <c r="F15" s="135">
        <v>-3237160.76</v>
      </c>
      <c r="G15" s="131">
        <f t="shared" si="0"/>
        <v>-809290.19</v>
      </c>
      <c r="H15" s="132">
        <f t="shared" si="1"/>
        <v>-135.71364418738352</v>
      </c>
      <c r="I15" s="133">
        <v>0</v>
      </c>
      <c r="J15" s="137">
        <v>1</v>
      </c>
      <c r="K15" s="134">
        <v>0</v>
      </c>
      <c r="L15" s="137">
        <f t="shared" si="2"/>
        <v>1</v>
      </c>
      <c r="M15" s="87">
        <v>1</v>
      </c>
      <c r="N15" s="415" t="s">
        <v>23</v>
      </c>
    </row>
    <row r="16" spans="1:14" ht="35.1" customHeight="1" thickBot="1" x14ac:dyDescent="0.5">
      <c r="A16" s="129" t="s">
        <v>24</v>
      </c>
      <c r="B16" s="130">
        <v>2.2599999999999998</v>
      </c>
      <c r="C16" s="130">
        <v>2.04</v>
      </c>
      <c r="D16" s="130">
        <v>1.83</v>
      </c>
      <c r="E16" s="130">
        <v>7817720.7800000003</v>
      </c>
      <c r="F16" s="130">
        <v>923096.12</v>
      </c>
      <c r="G16" s="131">
        <f t="shared" si="0"/>
        <v>230774.03</v>
      </c>
      <c r="H16" s="132">
        <f t="shared" si="1"/>
        <v>33.876085537007782</v>
      </c>
      <c r="I16" s="133">
        <v>0</v>
      </c>
      <c r="J16" s="134">
        <v>0</v>
      </c>
      <c r="K16" s="134">
        <v>0</v>
      </c>
      <c r="L16" s="134">
        <f t="shared" si="2"/>
        <v>0</v>
      </c>
      <c r="M16" s="88">
        <v>0</v>
      </c>
      <c r="N16" s="415" t="s">
        <v>24</v>
      </c>
    </row>
    <row r="17" spans="1:14" ht="35.1" customHeight="1" thickBot="1" x14ac:dyDescent="0.5">
      <c r="A17" s="129" t="s">
        <v>25</v>
      </c>
      <c r="B17" s="135">
        <v>1.19</v>
      </c>
      <c r="C17" s="130">
        <v>1.0900000000000001</v>
      </c>
      <c r="D17" s="135">
        <v>0.71</v>
      </c>
      <c r="E17" s="130">
        <v>4095363.91</v>
      </c>
      <c r="F17" s="130">
        <v>307071.53000000003</v>
      </c>
      <c r="G17" s="131">
        <f t="shared" si="0"/>
        <v>76767.882500000007</v>
      </c>
      <c r="H17" s="132">
        <f t="shared" si="1"/>
        <v>53.347360597056976</v>
      </c>
      <c r="I17" s="136">
        <v>2</v>
      </c>
      <c r="J17" s="138">
        <v>0</v>
      </c>
      <c r="K17" s="138">
        <v>0</v>
      </c>
      <c r="L17" s="137">
        <f t="shared" si="2"/>
        <v>2</v>
      </c>
      <c r="M17" s="87">
        <v>2</v>
      </c>
      <c r="N17" s="415" t="s">
        <v>25</v>
      </c>
    </row>
    <row r="18" spans="1:14" ht="35.1" customHeight="1" thickBot="1" x14ac:dyDescent="0.5">
      <c r="A18" s="129" t="s">
        <v>26</v>
      </c>
      <c r="B18" s="135">
        <v>0.94</v>
      </c>
      <c r="C18" s="135">
        <v>0.83</v>
      </c>
      <c r="D18" s="135">
        <v>0.72</v>
      </c>
      <c r="E18" s="135">
        <v>-1295006.2</v>
      </c>
      <c r="F18" s="130">
        <v>3774342.77</v>
      </c>
      <c r="G18" s="131">
        <f t="shared" si="0"/>
        <v>943585.6925</v>
      </c>
      <c r="H18" s="132">
        <f t="shared" si="1"/>
        <v>-1.3724309411357463</v>
      </c>
      <c r="I18" s="136">
        <v>3</v>
      </c>
      <c r="J18" s="137">
        <v>1</v>
      </c>
      <c r="K18" s="134">
        <v>0</v>
      </c>
      <c r="L18" s="137">
        <f t="shared" si="2"/>
        <v>4</v>
      </c>
      <c r="M18" s="87">
        <v>4</v>
      </c>
      <c r="N18" s="415" t="s">
        <v>26</v>
      </c>
    </row>
    <row r="19" spans="1:14" ht="35.1" customHeight="1" thickBot="1" x14ac:dyDescent="0.5">
      <c r="A19" s="129" t="s">
        <v>27</v>
      </c>
      <c r="B19" s="135">
        <v>1.41</v>
      </c>
      <c r="C19" s="130">
        <v>1.19</v>
      </c>
      <c r="D19" s="130">
        <v>0.96</v>
      </c>
      <c r="E19" s="130">
        <v>2956427.93</v>
      </c>
      <c r="F19" s="130">
        <v>2841792.94</v>
      </c>
      <c r="G19" s="131">
        <f t="shared" si="0"/>
        <v>710448.23499999999</v>
      </c>
      <c r="H19" s="132">
        <f t="shared" si="1"/>
        <v>4.1613558657092025</v>
      </c>
      <c r="I19" s="136">
        <v>1</v>
      </c>
      <c r="J19" s="134">
        <v>0</v>
      </c>
      <c r="K19" s="134">
        <v>0</v>
      </c>
      <c r="L19" s="137">
        <f t="shared" si="2"/>
        <v>1</v>
      </c>
      <c r="M19" s="87">
        <v>1</v>
      </c>
      <c r="N19" s="415" t="s">
        <v>27</v>
      </c>
    </row>
    <row r="20" spans="1:14" ht="24.75" customHeight="1" x14ac:dyDescent="0.45">
      <c r="E20" s="139">
        <f>SUM(E4:E19)</f>
        <v>888627843.73999989</v>
      </c>
      <c r="H20" s="89"/>
    </row>
    <row r="21" spans="1:14" ht="22.5" customHeight="1" x14ac:dyDescent="0.35">
      <c r="A21" s="90"/>
      <c r="B21" s="91"/>
      <c r="C21" s="91"/>
      <c r="D21" s="91"/>
      <c r="E21" s="84"/>
      <c r="F21" s="84"/>
      <c r="G21" s="92" t="s">
        <v>28</v>
      </c>
      <c r="H21" s="93"/>
      <c r="I21" s="94"/>
      <c r="J21" s="95"/>
      <c r="K21" s="96"/>
      <c r="L21" s="96"/>
    </row>
    <row r="22" spans="1:14" x14ac:dyDescent="0.35">
      <c r="A22" s="97" t="s">
        <v>29</v>
      </c>
      <c r="B22" s="84"/>
      <c r="C22" s="84"/>
      <c r="D22" s="84"/>
      <c r="E22" s="84"/>
      <c r="F22" s="84"/>
      <c r="G22" s="98" t="s">
        <v>30</v>
      </c>
      <c r="H22" s="685" t="s">
        <v>31</v>
      </c>
      <c r="I22" s="685"/>
      <c r="J22" s="99" t="s">
        <v>32</v>
      </c>
      <c r="K22" s="100"/>
      <c r="L22" s="101"/>
    </row>
    <row r="23" spans="1:14" x14ac:dyDescent="0.35">
      <c r="A23" s="97"/>
      <c r="B23" s="84"/>
      <c r="C23" s="84"/>
      <c r="D23" s="84"/>
      <c r="E23" s="84"/>
      <c r="F23" s="84"/>
      <c r="G23" s="102" t="s">
        <v>33</v>
      </c>
      <c r="H23" s="685"/>
      <c r="I23" s="685"/>
      <c r="J23" s="99" t="s">
        <v>34</v>
      </c>
      <c r="K23" s="100"/>
      <c r="L23" s="101"/>
    </row>
    <row r="24" spans="1:14" x14ac:dyDescent="0.35">
      <c r="A24" s="103" t="s">
        <v>35</v>
      </c>
      <c r="B24" s="84"/>
      <c r="C24" s="84"/>
      <c r="D24" s="84"/>
      <c r="E24" s="84"/>
      <c r="F24" s="84"/>
      <c r="G24" s="104" t="s">
        <v>70</v>
      </c>
      <c r="H24" s="685" t="s">
        <v>31</v>
      </c>
      <c r="I24" s="685"/>
      <c r="J24" s="686" t="s">
        <v>37</v>
      </c>
      <c r="K24" s="687"/>
      <c r="L24" s="687"/>
    </row>
    <row r="25" spans="1:14" x14ac:dyDescent="0.35">
      <c r="A25" s="97"/>
      <c r="B25" s="84"/>
      <c r="C25" s="84"/>
      <c r="D25" s="84"/>
      <c r="E25" s="84"/>
      <c r="F25" s="84"/>
      <c r="G25" s="102" t="s">
        <v>33</v>
      </c>
      <c r="H25" s="685"/>
      <c r="I25" s="685"/>
      <c r="J25" s="99" t="s">
        <v>34</v>
      </c>
      <c r="K25" s="105"/>
      <c r="L25" s="106"/>
    </row>
    <row r="26" spans="1:14" x14ac:dyDescent="0.35">
      <c r="A26" s="97" t="s">
        <v>38</v>
      </c>
      <c r="B26" s="84"/>
      <c r="C26" s="84"/>
      <c r="D26" s="84"/>
      <c r="E26" s="84"/>
      <c r="F26" s="102" t="s">
        <v>39</v>
      </c>
      <c r="G26" s="693" t="s">
        <v>31</v>
      </c>
      <c r="H26" s="693"/>
      <c r="I26" s="107" t="s">
        <v>40</v>
      </c>
      <c r="J26" s="108"/>
      <c r="K26" s="109"/>
      <c r="L26" s="109"/>
    </row>
    <row r="27" spans="1:14" x14ac:dyDescent="0.35">
      <c r="A27" s="110" t="s">
        <v>41</v>
      </c>
      <c r="B27" s="84"/>
      <c r="C27" s="84"/>
      <c r="D27" s="84"/>
      <c r="E27" s="84"/>
      <c r="F27" s="111" t="s">
        <v>71</v>
      </c>
      <c r="G27" s="112"/>
      <c r="H27" s="113"/>
      <c r="I27" s="107" t="s">
        <v>43</v>
      </c>
      <c r="J27" s="108"/>
      <c r="K27" s="106"/>
      <c r="L27" s="106"/>
    </row>
    <row r="28" spans="1:14" ht="11.25" customHeight="1" x14ac:dyDescent="0.35">
      <c r="F28" s="84"/>
      <c r="G28" s="114"/>
      <c r="H28" s="115"/>
      <c r="I28" s="114"/>
      <c r="J28" s="114"/>
    </row>
    <row r="29" spans="1:14" ht="23.25" customHeight="1" x14ac:dyDescent="0.35">
      <c r="A29" s="114"/>
      <c r="B29" s="84"/>
      <c r="C29" s="84"/>
      <c r="D29" s="84"/>
      <c r="E29" s="84"/>
      <c r="F29" s="84"/>
      <c r="G29" s="98" t="s">
        <v>72</v>
      </c>
      <c r="H29" s="685" t="s">
        <v>31</v>
      </c>
      <c r="I29" s="685"/>
      <c r="J29" s="99" t="s">
        <v>32</v>
      </c>
      <c r="K29" s="100"/>
      <c r="L29" s="101"/>
    </row>
    <row r="30" spans="1:14" ht="21.75" customHeight="1" x14ac:dyDescent="0.35">
      <c r="A30" s="114"/>
      <c r="B30" s="84"/>
      <c r="C30" s="84"/>
      <c r="D30" s="84"/>
      <c r="E30" s="84"/>
      <c r="F30" s="84"/>
      <c r="G30" s="102" t="s">
        <v>33</v>
      </c>
      <c r="H30" s="685"/>
      <c r="I30" s="685"/>
      <c r="J30" s="99" t="s">
        <v>34</v>
      </c>
      <c r="K30" s="100"/>
      <c r="L30" s="101"/>
    </row>
    <row r="31" spans="1:14" x14ac:dyDescent="0.35">
      <c r="A31" s="97" t="s">
        <v>73</v>
      </c>
      <c r="B31" s="84"/>
      <c r="C31" s="84"/>
      <c r="D31" s="84"/>
      <c r="E31" s="84"/>
      <c r="F31" s="116"/>
      <c r="G31" s="114"/>
      <c r="H31" s="115"/>
      <c r="I31" s="114"/>
      <c r="J31" s="114"/>
    </row>
    <row r="32" spans="1:14" x14ac:dyDescent="0.35">
      <c r="A32" s="97" t="s">
        <v>46</v>
      </c>
      <c r="B32" s="84"/>
      <c r="C32" s="84"/>
      <c r="D32" s="84"/>
      <c r="E32" s="84"/>
      <c r="F32" s="84"/>
      <c r="G32" s="114"/>
      <c r="H32" s="115"/>
      <c r="I32" s="114"/>
      <c r="J32" s="114"/>
    </row>
    <row r="33" spans="1:12" x14ac:dyDescent="0.35">
      <c r="A33" s="97" t="s">
        <v>74</v>
      </c>
      <c r="B33" s="84"/>
      <c r="C33" s="84"/>
      <c r="D33" s="84"/>
      <c r="E33" s="84"/>
      <c r="F33" s="84"/>
      <c r="G33" s="114"/>
      <c r="H33" s="115"/>
      <c r="I33" s="114"/>
      <c r="J33" s="114"/>
    </row>
    <row r="34" spans="1:12" x14ac:dyDescent="0.35">
      <c r="A34" s="97" t="s">
        <v>75</v>
      </c>
      <c r="B34" s="84"/>
      <c r="C34" s="84"/>
      <c r="D34" s="84"/>
      <c r="E34" s="84"/>
      <c r="F34" s="84"/>
      <c r="G34" s="114"/>
      <c r="H34" s="115"/>
      <c r="I34" s="114"/>
      <c r="J34" s="114"/>
    </row>
    <row r="35" spans="1:12" x14ac:dyDescent="0.35">
      <c r="A35" s="97" t="s">
        <v>76</v>
      </c>
      <c r="B35" s="84"/>
      <c r="C35" s="97"/>
      <c r="D35" s="117"/>
      <c r="E35" s="117"/>
      <c r="F35" s="117"/>
      <c r="G35" s="118"/>
      <c r="H35" s="115"/>
      <c r="I35" s="114"/>
      <c r="J35" s="114"/>
    </row>
    <row r="36" spans="1:12" x14ac:dyDescent="0.35">
      <c r="A36" s="114"/>
      <c r="B36" s="84"/>
      <c r="C36" s="97" t="s">
        <v>50</v>
      </c>
      <c r="D36" s="84"/>
      <c r="E36" s="84"/>
      <c r="F36" s="84"/>
      <c r="G36" s="114"/>
      <c r="H36" s="115"/>
      <c r="I36" s="114"/>
      <c r="J36" s="114"/>
    </row>
    <row r="37" spans="1:12" x14ac:dyDescent="0.35">
      <c r="A37" s="114"/>
      <c r="B37" s="84"/>
      <c r="C37" s="97" t="s">
        <v>51</v>
      </c>
      <c r="D37" s="84"/>
      <c r="E37" s="84"/>
      <c r="F37" s="84"/>
      <c r="G37" s="114"/>
      <c r="H37" s="115"/>
      <c r="I37" s="114"/>
      <c r="J37" s="114"/>
    </row>
    <row r="38" spans="1:12" x14ac:dyDescent="0.35">
      <c r="A38" s="114"/>
      <c r="B38" s="84"/>
      <c r="C38" s="97" t="s">
        <v>52</v>
      </c>
      <c r="D38" s="84"/>
      <c r="E38" s="84"/>
      <c r="F38" s="84"/>
      <c r="G38" s="114"/>
      <c r="H38" s="115"/>
      <c r="I38" s="114"/>
      <c r="J38" s="114"/>
    </row>
    <row r="39" spans="1:12" x14ac:dyDescent="0.35">
      <c r="A39" s="12" t="s">
        <v>53</v>
      </c>
      <c r="B39" s="84"/>
      <c r="C39" s="84"/>
      <c r="D39" s="84"/>
      <c r="E39" s="84"/>
      <c r="F39" s="84"/>
      <c r="G39" s="114"/>
      <c r="H39" s="115"/>
      <c r="I39" s="114"/>
      <c r="J39" s="114"/>
    </row>
    <row r="40" spans="1:12" x14ac:dyDescent="0.35">
      <c r="A40" s="97" t="s">
        <v>77</v>
      </c>
      <c r="B40" s="84"/>
      <c r="C40" s="84"/>
      <c r="D40" s="84"/>
      <c r="E40" s="84"/>
      <c r="F40" s="84"/>
      <c r="G40" s="114"/>
      <c r="H40" s="115"/>
      <c r="I40" s="114"/>
      <c r="J40" s="114"/>
    </row>
    <row r="41" spans="1:12" x14ac:dyDescent="0.35">
      <c r="A41" s="694" t="s">
        <v>68</v>
      </c>
      <c r="B41" s="694"/>
      <c r="C41" s="694"/>
      <c r="D41" s="84"/>
      <c r="E41" s="84"/>
      <c r="F41" s="84"/>
      <c r="G41" s="84"/>
      <c r="H41" s="119"/>
      <c r="I41" s="114"/>
      <c r="J41" s="114"/>
      <c r="K41" s="114"/>
      <c r="L41" s="114"/>
    </row>
    <row r="42" spans="1:12" x14ac:dyDescent="0.35">
      <c r="A42" s="12" t="s">
        <v>69</v>
      </c>
    </row>
    <row r="45" spans="1:12" x14ac:dyDescent="0.35">
      <c r="A45" s="120"/>
      <c r="B45" s="121"/>
      <c r="C45" s="121"/>
      <c r="D45" s="122"/>
      <c r="E45" s="91"/>
      <c r="F45" s="123"/>
      <c r="G45" s="123"/>
      <c r="H45" s="124"/>
      <c r="I45" s="125"/>
      <c r="J45" s="125"/>
      <c r="K45" s="125"/>
      <c r="L45" s="125"/>
    </row>
    <row r="48" spans="1:12" x14ac:dyDescent="0.35">
      <c r="I48" s="126"/>
      <c r="J48" s="126"/>
      <c r="K48" s="126"/>
      <c r="L48" s="126"/>
    </row>
  </sheetData>
  <mergeCells count="18">
    <mergeCell ref="D2:D3"/>
    <mergeCell ref="E2:E3"/>
    <mergeCell ref="G26:H26"/>
    <mergeCell ref="H29:I30"/>
    <mergeCell ref="A41:C41"/>
    <mergeCell ref="F2:F3"/>
    <mergeCell ref="G2:G3"/>
    <mergeCell ref="A2:A3"/>
    <mergeCell ref="B2:B3"/>
    <mergeCell ref="C2:C3"/>
    <mergeCell ref="L2:L3"/>
    <mergeCell ref="M2:M3"/>
    <mergeCell ref="H22:I23"/>
    <mergeCell ref="H24:I25"/>
    <mergeCell ref="J24:L24"/>
    <mergeCell ref="I2:I3"/>
    <mergeCell ref="J2:J3"/>
    <mergeCell ref="K2:K3"/>
  </mergeCells>
  <pageMargins left="0.31496062992125984" right="0.31496062992125984" top="0" bottom="0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60" zoomScaleNormal="60" workbookViewId="0">
      <selection activeCell="F17" sqref="F17"/>
    </sheetView>
  </sheetViews>
  <sheetFormatPr defaultRowHeight="19.5" x14ac:dyDescent="0.25"/>
  <cols>
    <col min="1" max="1" width="20.625" style="144" customWidth="1"/>
    <col min="2" max="2" width="9.25" style="144" customWidth="1"/>
    <col min="3" max="3" width="9.625" style="144" customWidth="1"/>
    <col min="4" max="4" width="9.125" style="144" customWidth="1"/>
    <col min="5" max="5" width="17.625" style="144" customWidth="1"/>
    <col min="6" max="6" width="19.25" style="144" customWidth="1"/>
    <col min="7" max="7" width="20.625" style="144" customWidth="1"/>
    <col min="8" max="8" width="10.25" style="144" customWidth="1"/>
    <col min="9" max="9" width="10.375" style="144" customWidth="1"/>
    <col min="10" max="10" width="8.375" style="144" customWidth="1"/>
    <col min="11" max="11" width="8.875" style="144" customWidth="1"/>
    <col min="12" max="12" width="12.375" style="144" customWidth="1"/>
    <col min="13" max="13" width="11.5" style="144" hidden="1" customWidth="1"/>
    <col min="14" max="15" width="9" style="144"/>
    <col min="16" max="16" width="27.5" style="144" bestFit="1" customWidth="1"/>
    <col min="17" max="17" width="24.375" style="144" customWidth="1"/>
    <col min="18" max="16384" width="9" style="144"/>
  </cols>
  <sheetData>
    <row r="1" spans="1:17" ht="27.75" customHeight="1" thickBot="1" x14ac:dyDescent="0.3">
      <c r="A1" s="143" t="s">
        <v>78</v>
      </c>
      <c r="E1" s="145"/>
      <c r="H1" s="144" t="s">
        <v>0</v>
      </c>
    </row>
    <row r="2" spans="1:17" ht="41.25" customHeight="1" x14ac:dyDescent="0.25">
      <c r="A2" s="697" t="s">
        <v>1</v>
      </c>
      <c r="B2" s="697" t="s">
        <v>2</v>
      </c>
      <c r="C2" s="697" t="s">
        <v>3</v>
      </c>
      <c r="D2" s="697" t="s">
        <v>4</v>
      </c>
      <c r="E2" s="699" t="s">
        <v>5</v>
      </c>
      <c r="F2" s="697" t="s">
        <v>6</v>
      </c>
      <c r="G2" s="708" t="s">
        <v>7</v>
      </c>
      <c r="H2" s="146" t="s">
        <v>8</v>
      </c>
      <c r="I2" s="697" t="s">
        <v>9</v>
      </c>
      <c r="J2" s="697" t="s">
        <v>10</v>
      </c>
      <c r="K2" s="697" t="s">
        <v>11</v>
      </c>
      <c r="L2" s="702" t="s">
        <v>79</v>
      </c>
      <c r="M2" s="702" t="s">
        <v>80</v>
      </c>
      <c r="N2" s="702" t="s">
        <v>66</v>
      </c>
    </row>
    <row r="3" spans="1:17" ht="45.75" customHeight="1" thickBot="1" x14ac:dyDescent="0.3">
      <c r="A3" s="698"/>
      <c r="B3" s="698"/>
      <c r="C3" s="698"/>
      <c r="D3" s="698"/>
      <c r="E3" s="700"/>
      <c r="F3" s="698"/>
      <c r="G3" s="709"/>
      <c r="H3" s="147"/>
      <c r="I3" s="710"/>
      <c r="J3" s="710"/>
      <c r="K3" s="710"/>
      <c r="L3" s="703"/>
      <c r="M3" s="703"/>
      <c r="N3" s="703"/>
      <c r="P3" s="148" t="s">
        <v>81</v>
      </c>
      <c r="Q3" s="149" t="s">
        <v>82</v>
      </c>
    </row>
    <row r="4" spans="1:17" ht="35.1" customHeight="1" thickBot="1" x14ac:dyDescent="0.4">
      <c r="A4" s="150" t="s">
        <v>12</v>
      </c>
      <c r="B4" s="151">
        <v>4.59</v>
      </c>
      <c r="C4" s="151">
        <v>4.41</v>
      </c>
      <c r="D4" s="151">
        <v>3.17</v>
      </c>
      <c r="E4" s="152">
        <v>608409052.01999998</v>
      </c>
      <c r="F4" s="291">
        <v>105227970.59999999</v>
      </c>
      <c r="G4" s="153">
        <f>SUM(F4/5)</f>
        <v>21045594.119999997</v>
      </c>
      <c r="H4" s="154">
        <f>SUM(E4/G4)</f>
        <v>28.909093682549841</v>
      </c>
      <c r="I4" s="155">
        <v>0</v>
      </c>
      <c r="J4" s="141">
        <v>0</v>
      </c>
      <c r="K4" s="141">
        <v>0</v>
      </c>
      <c r="L4" s="204">
        <f>SUM(I4:K4)</f>
        <v>0</v>
      </c>
      <c r="M4" s="141">
        <v>0</v>
      </c>
      <c r="N4" s="151">
        <v>0</v>
      </c>
      <c r="P4" s="156">
        <v>7</v>
      </c>
      <c r="Q4" s="156">
        <f>COUNTIF(L4:L19,7)</f>
        <v>0</v>
      </c>
    </row>
    <row r="5" spans="1:17" ht="35.1" customHeight="1" thickBot="1" x14ac:dyDescent="0.4">
      <c r="A5" s="150" t="s">
        <v>13</v>
      </c>
      <c r="B5" s="152">
        <v>1.64</v>
      </c>
      <c r="C5" s="152">
        <v>1.38</v>
      </c>
      <c r="D5" s="152">
        <v>0.84</v>
      </c>
      <c r="E5" s="152">
        <v>55744380.509999998</v>
      </c>
      <c r="F5" s="152">
        <v>-1903667.44</v>
      </c>
      <c r="G5" s="153">
        <f t="shared" ref="G5:G19" si="0">SUM(F5/5)</f>
        <v>-380733.48800000001</v>
      </c>
      <c r="H5" s="154">
        <v>146.41</v>
      </c>
      <c r="I5" s="155">
        <v>0</v>
      </c>
      <c r="J5" s="141">
        <v>1</v>
      </c>
      <c r="K5" s="141">
        <v>0</v>
      </c>
      <c r="L5" s="204">
        <f t="shared" ref="L5:L19" si="1">SUM(I5:K5)</f>
        <v>1</v>
      </c>
      <c r="M5" s="141">
        <v>2</v>
      </c>
      <c r="N5" s="151">
        <v>2</v>
      </c>
      <c r="P5" s="157">
        <v>6</v>
      </c>
      <c r="Q5" s="157">
        <f>COUNTIF(L4:L19,6)</f>
        <v>0</v>
      </c>
    </row>
    <row r="6" spans="1:17" ht="35.1" customHeight="1" thickBot="1" x14ac:dyDescent="0.4">
      <c r="A6" s="150" t="s">
        <v>14</v>
      </c>
      <c r="B6" s="152">
        <v>1.2</v>
      </c>
      <c r="C6" s="152">
        <v>1.1100000000000001</v>
      </c>
      <c r="D6" s="152">
        <v>0.91</v>
      </c>
      <c r="E6" s="152">
        <v>5046264.3099999996</v>
      </c>
      <c r="F6" s="152">
        <v>3404525.41</v>
      </c>
      <c r="G6" s="153">
        <f t="shared" si="0"/>
        <v>680905.08200000005</v>
      </c>
      <c r="H6" s="154">
        <f t="shared" ref="H6:H19" si="2">SUM(E6/G6)</f>
        <v>7.4111127136513266</v>
      </c>
      <c r="I6" s="155">
        <v>1</v>
      </c>
      <c r="J6" s="141">
        <v>0</v>
      </c>
      <c r="K6" s="141">
        <v>0</v>
      </c>
      <c r="L6" s="204">
        <f t="shared" si="1"/>
        <v>1</v>
      </c>
      <c r="M6" s="141">
        <v>3</v>
      </c>
      <c r="N6" s="151">
        <v>1</v>
      </c>
      <c r="P6" s="158">
        <v>5</v>
      </c>
      <c r="Q6" s="158">
        <f>COUNTIF(L4:L19,5)</f>
        <v>0</v>
      </c>
    </row>
    <row r="7" spans="1:17" ht="35.1" customHeight="1" thickBot="1" x14ac:dyDescent="0.4">
      <c r="A7" s="150" t="s">
        <v>15</v>
      </c>
      <c r="B7" s="152">
        <v>1.72</v>
      </c>
      <c r="C7" s="152">
        <v>1.57</v>
      </c>
      <c r="D7" s="152">
        <v>1.29</v>
      </c>
      <c r="E7" s="152">
        <v>13433127.800000001</v>
      </c>
      <c r="F7" s="152">
        <v>-999480.44</v>
      </c>
      <c r="G7" s="153">
        <f t="shared" si="0"/>
        <v>-199896.08799999999</v>
      </c>
      <c r="H7" s="154">
        <v>67.2</v>
      </c>
      <c r="I7" s="155">
        <v>0</v>
      </c>
      <c r="J7" s="141">
        <v>1</v>
      </c>
      <c r="K7" s="141">
        <v>0</v>
      </c>
      <c r="L7" s="204">
        <f t="shared" si="1"/>
        <v>1</v>
      </c>
      <c r="M7" s="141">
        <v>1</v>
      </c>
      <c r="N7" s="151">
        <v>1</v>
      </c>
      <c r="P7" s="159">
        <v>4</v>
      </c>
      <c r="Q7" s="159">
        <f>COUNTIF(L4:L19,4)</f>
        <v>2</v>
      </c>
    </row>
    <row r="8" spans="1:17" ht="35.1" customHeight="1" thickBot="1" x14ac:dyDescent="0.4">
      <c r="A8" s="150" t="s">
        <v>16</v>
      </c>
      <c r="B8" s="152">
        <v>2.0299999999999998</v>
      </c>
      <c r="C8" s="152">
        <v>1.79</v>
      </c>
      <c r="D8" s="152">
        <v>1.44</v>
      </c>
      <c r="E8" s="152">
        <v>12262969.140000001</v>
      </c>
      <c r="F8" s="152">
        <v>-602225.28</v>
      </c>
      <c r="G8" s="153">
        <f t="shared" si="0"/>
        <v>-120445.05600000001</v>
      </c>
      <c r="H8" s="154">
        <v>101.81</v>
      </c>
      <c r="I8" s="155">
        <v>0</v>
      </c>
      <c r="J8" s="141">
        <v>1</v>
      </c>
      <c r="K8" s="141">
        <v>0</v>
      </c>
      <c r="L8" s="204">
        <f t="shared" si="1"/>
        <v>1</v>
      </c>
      <c r="M8" s="141">
        <v>1</v>
      </c>
      <c r="N8" s="151">
        <v>1</v>
      </c>
      <c r="P8" s="160">
        <v>3</v>
      </c>
      <c r="Q8" s="160">
        <f>COUNTIF(L4:L19,3)</f>
        <v>2</v>
      </c>
    </row>
    <row r="9" spans="1:17" ht="35.1" customHeight="1" thickBot="1" x14ac:dyDescent="0.4">
      <c r="A9" s="150" t="s">
        <v>17</v>
      </c>
      <c r="B9" s="152">
        <v>1.1399999999999999</v>
      </c>
      <c r="C9" s="152">
        <v>0.99</v>
      </c>
      <c r="D9" s="152">
        <v>0.89</v>
      </c>
      <c r="E9" s="152">
        <v>2781507.26</v>
      </c>
      <c r="F9" s="152">
        <v>3793040.75</v>
      </c>
      <c r="G9" s="153">
        <f t="shared" si="0"/>
        <v>758608.15</v>
      </c>
      <c r="H9" s="154">
        <f t="shared" si="2"/>
        <v>3.6665929043868033</v>
      </c>
      <c r="I9" s="155">
        <v>2</v>
      </c>
      <c r="J9" s="141">
        <v>0</v>
      </c>
      <c r="K9" s="141">
        <v>0</v>
      </c>
      <c r="L9" s="204">
        <f t="shared" si="1"/>
        <v>2</v>
      </c>
      <c r="M9" s="141">
        <v>2</v>
      </c>
      <c r="N9" s="151">
        <v>1</v>
      </c>
      <c r="P9" s="161">
        <v>2</v>
      </c>
      <c r="Q9" s="161">
        <f>COUNTIF(L4:L19,2)</f>
        <v>1</v>
      </c>
    </row>
    <row r="10" spans="1:17" ht="35.1" customHeight="1" thickBot="1" x14ac:dyDescent="0.4">
      <c r="A10" s="150" t="s">
        <v>18</v>
      </c>
      <c r="B10" s="152">
        <v>2.52</v>
      </c>
      <c r="C10" s="152">
        <v>2.3199999999999998</v>
      </c>
      <c r="D10" s="152">
        <v>1.93</v>
      </c>
      <c r="E10" s="152">
        <v>47353654.640000001</v>
      </c>
      <c r="F10" s="152">
        <v>6760365.71</v>
      </c>
      <c r="G10" s="153">
        <f t="shared" si="0"/>
        <v>1352073.142</v>
      </c>
      <c r="H10" s="154">
        <f t="shared" si="2"/>
        <v>35.022997772113129</v>
      </c>
      <c r="I10" s="155">
        <v>0</v>
      </c>
      <c r="J10" s="141">
        <v>0</v>
      </c>
      <c r="K10" s="141">
        <v>0</v>
      </c>
      <c r="L10" s="204">
        <f t="shared" si="1"/>
        <v>0</v>
      </c>
      <c r="M10" s="141">
        <v>0</v>
      </c>
      <c r="N10" s="151">
        <v>0</v>
      </c>
      <c r="P10" s="162">
        <v>1</v>
      </c>
      <c r="Q10" s="162">
        <f>COUNTIF(L4:L19,1)</f>
        <v>6</v>
      </c>
    </row>
    <row r="11" spans="1:17" ht="35.1" customHeight="1" thickBot="1" x14ac:dyDescent="0.4">
      <c r="A11" s="150" t="s">
        <v>19</v>
      </c>
      <c r="B11" s="152">
        <v>0.99</v>
      </c>
      <c r="C11" s="152">
        <v>0.84</v>
      </c>
      <c r="D11" s="152">
        <v>0.65</v>
      </c>
      <c r="E11" s="152">
        <v>-375159.23</v>
      </c>
      <c r="F11" s="152">
        <v>5115621.91</v>
      </c>
      <c r="G11" s="153">
        <f t="shared" si="0"/>
        <v>1023124.382</v>
      </c>
      <c r="H11" s="154">
        <f t="shared" si="2"/>
        <v>-0.3666799820239256</v>
      </c>
      <c r="I11" s="155">
        <v>3</v>
      </c>
      <c r="J11" s="141">
        <v>1</v>
      </c>
      <c r="K11" s="141">
        <v>0</v>
      </c>
      <c r="L11" s="204">
        <f t="shared" si="1"/>
        <v>4</v>
      </c>
      <c r="M11" s="141">
        <v>7</v>
      </c>
      <c r="N11" s="151">
        <v>4</v>
      </c>
      <c r="P11" s="163">
        <v>0</v>
      </c>
      <c r="Q11" s="163">
        <f>COUNTIF(L4:L19,0)</f>
        <v>5</v>
      </c>
    </row>
    <row r="12" spans="1:17" ht="35.1" customHeight="1" thickBot="1" x14ac:dyDescent="0.4">
      <c r="A12" s="150" t="s">
        <v>20</v>
      </c>
      <c r="B12" s="152">
        <v>1.37</v>
      </c>
      <c r="C12" s="152">
        <v>1.22</v>
      </c>
      <c r="D12" s="152">
        <v>1.02</v>
      </c>
      <c r="E12" s="152">
        <v>6294363.5199999996</v>
      </c>
      <c r="F12" s="152">
        <v>8401545.0999999996</v>
      </c>
      <c r="G12" s="153">
        <f t="shared" si="0"/>
        <v>1680309.02</v>
      </c>
      <c r="H12" s="154">
        <f t="shared" si="2"/>
        <v>3.7459559194653371</v>
      </c>
      <c r="I12" s="155">
        <v>1</v>
      </c>
      <c r="J12" s="141">
        <v>0</v>
      </c>
      <c r="K12" s="141">
        <v>0</v>
      </c>
      <c r="L12" s="204">
        <f t="shared" si="1"/>
        <v>1</v>
      </c>
      <c r="M12" s="141">
        <v>1</v>
      </c>
      <c r="N12" s="151">
        <v>1</v>
      </c>
      <c r="P12" s="143"/>
      <c r="Q12" s="164">
        <f>SUM(Q4:Q11)</f>
        <v>16</v>
      </c>
    </row>
    <row r="13" spans="1:17" ht="35.1" customHeight="1" thickBot="1" x14ac:dyDescent="0.4">
      <c r="A13" s="150" t="s">
        <v>21</v>
      </c>
      <c r="B13" s="152">
        <v>1.63</v>
      </c>
      <c r="C13" s="152">
        <v>1.43</v>
      </c>
      <c r="D13" s="152">
        <v>1.03</v>
      </c>
      <c r="E13" s="152">
        <v>8012044.6799999997</v>
      </c>
      <c r="F13" s="152">
        <v>2371153.2799999998</v>
      </c>
      <c r="G13" s="153">
        <f t="shared" si="0"/>
        <v>474230.65599999996</v>
      </c>
      <c r="H13" s="154">
        <f t="shared" si="2"/>
        <v>16.894826554612276</v>
      </c>
      <c r="I13" s="155">
        <v>0</v>
      </c>
      <c r="J13" s="141">
        <v>0</v>
      </c>
      <c r="K13" s="141">
        <v>0</v>
      </c>
      <c r="L13" s="204">
        <f t="shared" si="1"/>
        <v>0</v>
      </c>
      <c r="M13" s="141">
        <v>2</v>
      </c>
      <c r="N13" s="151">
        <v>0</v>
      </c>
    </row>
    <row r="14" spans="1:17" ht="35.1" customHeight="1" thickBot="1" x14ac:dyDescent="0.4">
      <c r="A14" s="150" t="s">
        <v>22</v>
      </c>
      <c r="B14" s="152">
        <v>0.98</v>
      </c>
      <c r="C14" s="152">
        <v>0.81</v>
      </c>
      <c r="D14" s="152">
        <v>0.65</v>
      </c>
      <c r="E14" s="152">
        <v>-380994.19</v>
      </c>
      <c r="F14" s="152">
        <v>3173102.99</v>
      </c>
      <c r="G14" s="153">
        <f t="shared" si="0"/>
        <v>634620.598</v>
      </c>
      <c r="H14" s="154">
        <f t="shared" si="2"/>
        <v>-0.60034954932238116</v>
      </c>
      <c r="I14" s="155">
        <v>3</v>
      </c>
      <c r="J14" s="141">
        <v>1</v>
      </c>
      <c r="K14" s="141">
        <v>0</v>
      </c>
      <c r="L14" s="204">
        <f t="shared" si="1"/>
        <v>4</v>
      </c>
      <c r="M14" s="141">
        <v>7</v>
      </c>
      <c r="N14" s="151">
        <v>4</v>
      </c>
    </row>
    <row r="15" spans="1:17" ht="35.1" customHeight="1" thickBot="1" x14ac:dyDescent="0.4">
      <c r="A15" s="150" t="s">
        <v>23</v>
      </c>
      <c r="B15" s="152">
        <v>2.39</v>
      </c>
      <c r="C15" s="152">
        <v>1.94</v>
      </c>
      <c r="D15" s="152">
        <v>1.73</v>
      </c>
      <c r="E15" s="152">
        <v>43975553.469999999</v>
      </c>
      <c r="F15" s="152">
        <v>1185826.72</v>
      </c>
      <c r="G15" s="153">
        <f t="shared" si="0"/>
        <v>237165.34399999998</v>
      </c>
      <c r="H15" s="154">
        <f t="shared" si="2"/>
        <v>185.42149847154735</v>
      </c>
      <c r="I15" s="155">
        <v>0</v>
      </c>
      <c r="J15" s="141">
        <v>0</v>
      </c>
      <c r="K15" s="141">
        <v>0</v>
      </c>
      <c r="L15" s="204">
        <f t="shared" si="1"/>
        <v>0</v>
      </c>
      <c r="M15" s="141">
        <v>1</v>
      </c>
      <c r="N15" s="151">
        <v>1</v>
      </c>
    </row>
    <row r="16" spans="1:17" ht="35.1" customHeight="1" thickBot="1" x14ac:dyDescent="0.4">
      <c r="A16" s="150" t="s">
        <v>24</v>
      </c>
      <c r="B16" s="152">
        <v>2.2200000000000002</v>
      </c>
      <c r="C16" s="152">
        <v>2</v>
      </c>
      <c r="D16" s="152">
        <v>1.78</v>
      </c>
      <c r="E16" s="152">
        <v>7671350.9400000004</v>
      </c>
      <c r="F16" s="152">
        <v>590515.29</v>
      </c>
      <c r="G16" s="153">
        <f t="shared" si="0"/>
        <v>118103.058</v>
      </c>
      <c r="H16" s="154">
        <f t="shared" si="2"/>
        <v>64.954718954017267</v>
      </c>
      <c r="I16" s="155">
        <v>0</v>
      </c>
      <c r="J16" s="141">
        <v>0</v>
      </c>
      <c r="K16" s="141">
        <v>0</v>
      </c>
      <c r="L16" s="204">
        <f t="shared" si="1"/>
        <v>0</v>
      </c>
      <c r="M16" s="141">
        <v>0</v>
      </c>
      <c r="N16" s="151">
        <v>0</v>
      </c>
    </row>
    <row r="17" spans="1:14" ht="35.1" customHeight="1" thickBot="1" x14ac:dyDescent="0.4">
      <c r="A17" s="150" t="s">
        <v>25</v>
      </c>
      <c r="B17" s="152">
        <v>1.1499999999999999</v>
      </c>
      <c r="C17" s="152">
        <v>1.05</v>
      </c>
      <c r="D17" s="152">
        <v>0.72</v>
      </c>
      <c r="E17" s="152">
        <v>3172897.07</v>
      </c>
      <c r="F17" s="152">
        <v>-487081.46</v>
      </c>
      <c r="G17" s="153">
        <f t="shared" si="0"/>
        <v>-97416.292000000001</v>
      </c>
      <c r="H17" s="154">
        <v>32.57</v>
      </c>
      <c r="I17" s="155">
        <v>2</v>
      </c>
      <c r="J17" s="141">
        <v>1</v>
      </c>
      <c r="K17" s="141">
        <v>0</v>
      </c>
      <c r="L17" s="204">
        <f t="shared" si="1"/>
        <v>3</v>
      </c>
      <c r="M17" s="141">
        <v>2</v>
      </c>
      <c r="N17" s="151">
        <v>2</v>
      </c>
    </row>
    <row r="18" spans="1:14" ht="35.1" customHeight="1" thickBot="1" x14ac:dyDescent="0.4">
      <c r="A18" s="150" t="s">
        <v>26</v>
      </c>
      <c r="B18" s="152">
        <v>0.96</v>
      </c>
      <c r="C18" s="152">
        <v>0.84</v>
      </c>
      <c r="D18" s="152">
        <v>0.7</v>
      </c>
      <c r="E18" s="152">
        <v>-623820.62</v>
      </c>
      <c r="F18" s="152">
        <v>4002943.9</v>
      </c>
      <c r="G18" s="153">
        <f t="shared" si="0"/>
        <v>800588.78</v>
      </c>
      <c r="H18" s="154">
        <f t="shared" si="2"/>
        <v>-0.77920230158609016</v>
      </c>
      <c r="I18" s="155">
        <v>2</v>
      </c>
      <c r="J18" s="141">
        <v>1</v>
      </c>
      <c r="K18" s="141">
        <v>0</v>
      </c>
      <c r="L18" s="204">
        <f t="shared" si="1"/>
        <v>3</v>
      </c>
      <c r="M18" s="141">
        <v>4</v>
      </c>
      <c r="N18" s="151">
        <v>4</v>
      </c>
    </row>
    <row r="19" spans="1:14" ht="35.1" customHeight="1" thickBot="1" x14ac:dyDescent="0.4">
      <c r="A19" s="150" t="s">
        <v>27</v>
      </c>
      <c r="B19" s="152">
        <v>1.28</v>
      </c>
      <c r="C19" s="152">
        <v>1.07</v>
      </c>
      <c r="D19" s="152">
        <v>0.83</v>
      </c>
      <c r="E19" s="152">
        <v>2063880.07</v>
      </c>
      <c r="F19" s="152">
        <v>1926619.89</v>
      </c>
      <c r="G19" s="153">
        <f t="shared" si="0"/>
        <v>385323.978</v>
      </c>
      <c r="H19" s="154">
        <f t="shared" si="2"/>
        <v>5.3562201883008695</v>
      </c>
      <c r="I19" s="155">
        <v>1</v>
      </c>
      <c r="J19" s="141">
        <v>0</v>
      </c>
      <c r="K19" s="141">
        <v>0</v>
      </c>
      <c r="L19" s="204">
        <f t="shared" si="1"/>
        <v>1</v>
      </c>
      <c r="M19" s="141">
        <v>1</v>
      </c>
      <c r="N19" s="151">
        <v>1</v>
      </c>
    </row>
    <row r="20" spans="1:14" ht="33" customHeight="1" x14ac:dyDescent="0.35">
      <c r="B20" s="165"/>
      <c r="C20" s="165"/>
      <c r="D20" s="165"/>
      <c r="E20" s="203">
        <f>SUM(E4:E19)</f>
        <v>814841071.38999987</v>
      </c>
      <c r="F20" s="165"/>
      <c r="H20" s="166"/>
    </row>
    <row r="21" spans="1:14" ht="22.5" customHeight="1" x14ac:dyDescent="0.5">
      <c r="A21" s="167"/>
      <c r="B21" s="168"/>
      <c r="C21" s="168"/>
      <c r="D21" s="168"/>
      <c r="E21" s="169"/>
      <c r="F21" s="169"/>
      <c r="G21" s="170" t="s">
        <v>28</v>
      </c>
      <c r="H21" s="171"/>
      <c r="I21" s="172"/>
      <c r="J21" s="173"/>
      <c r="K21" s="174"/>
      <c r="L21" s="174"/>
    </row>
    <row r="22" spans="1:14" ht="23.25" x14ac:dyDescent="0.5">
      <c r="A22" s="175" t="s">
        <v>29</v>
      </c>
      <c r="B22" s="169"/>
      <c r="C22" s="169"/>
      <c r="D22" s="169"/>
      <c r="E22" s="169"/>
      <c r="F22" s="169"/>
      <c r="G22" s="176" t="s">
        <v>30</v>
      </c>
      <c r="H22" s="704" t="s">
        <v>31</v>
      </c>
      <c r="I22" s="704"/>
      <c r="J22" s="177" t="s">
        <v>32</v>
      </c>
      <c r="K22" s="178"/>
      <c r="L22" s="179"/>
    </row>
    <row r="23" spans="1:14" ht="23.25" x14ac:dyDescent="0.5">
      <c r="A23" s="175"/>
      <c r="B23" s="169"/>
      <c r="C23" s="169"/>
      <c r="D23" s="169"/>
      <c r="E23" s="169"/>
      <c r="F23" s="169"/>
      <c r="G23" s="180" t="s">
        <v>33</v>
      </c>
      <c r="H23" s="704"/>
      <c r="I23" s="704"/>
      <c r="J23" s="177" t="s">
        <v>34</v>
      </c>
      <c r="K23" s="178"/>
      <c r="L23" s="179"/>
    </row>
    <row r="24" spans="1:14" ht="23.25" x14ac:dyDescent="0.5">
      <c r="A24" s="181" t="s">
        <v>35</v>
      </c>
      <c r="B24" s="169"/>
      <c r="C24" s="169"/>
      <c r="D24" s="169"/>
      <c r="E24" s="169"/>
      <c r="F24" s="169"/>
      <c r="G24" s="182" t="s">
        <v>86</v>
      </c>
      <c r="H24" s="704" t="s">
        <v>31</v>
      </c>
      <c r="I24" s="704"/>
      <c r="J24" s="705" t="s">
        <v>37</v>
      </c>
      <c r="K24" s="706"/>
      <c r="L24" s="706"/>
    </row>
    <row r="25" spans="1:14" ht="23.25" x14ac:dyDescent="0.5">
      <c r="A25" s="175"/>
      <c r="B25" s="169"/>
      <c r="C25" s="169"/>
      <c r="D25" s="169"/>
      <c r="E25" s="169"/>
      <c r="F25" s="169"/>
      <c r="G25" s="180" t="s">
        <v>33</v>
      </c>
      <c r="H25" s="704"/>
      <c r="I25" s="704"/>
      <c r="J25" s="177" t="s">
        <v>34</v>
      </c>
      <c r="K25" s="183"/>
      <c r="L25" s="184"/>
    </row>
    <row r="26" spans="1:14" ht="23.25" x14ac:dyDescent="0.5">
      <c r="A26" s="175" t="s">
        <v>38</v>
      </c>
      <c r="B26" s="169"/>
      <c r="C26" s="169"/>
      <c r="D26" s="169"/>
      <c r="E26" s="169"/>
      <c r="F26" s="180" t="s">
        <v>39</v>
      </c>
      <c r="G26" s="707" t="s">
        <v>31</v>
      </c>
      <c r="H26" s="707"/>
      <c r="I26" s="185" t="s">
        <v>40</v>
      </c>
      <c r="J26" s="186"/>
      <c r="K26" s="187"/>
      <c r="L26" s="187"/>
    </row>
    <row r="27" spans="1:14" ht="23.25" x14ac:dyDescent="0.5">
      <c r="A27" s="188" t="s">
        <v>41</v>
      </c>
      <c r="B27" s="169"/>
      <c r="C27" s="169"/>
      <c r="D27" s="169"/>
      <c r="E27" s="169"/>
      <c r="F27" s="189" t="s">
        <v>87</v>
      </c>
      <c r="G27" s="190"/>
      <c r="H27" s="191"/>
      <c r="I27" s="185" t="s">
        <v>43</v>
      </c>
      <c r="J27" s="186"/>
      <c r="K27" s="184"/>
      <c r="L27" s="184"/>
    </row>
    <row r="28" spans="1:14" ht="11.25" customHeight="1" x14ac:dyDescent="0.5">
      <c r="F28" s="169"/>
      <c r="G28" s="192"/>
      <c r="H28" s="193"/>
      <c r="I28" s="192"/>
      <c r="J28" s="192"/>
      <c r="K28" s="194"/>
      <c r="L28" s="194"/>
    </row>
    <row r="29" spans="1:14" ht="23.25" customHeight="1" x14ac:dyDescent="0.5">
      <c r="A29" s="192"/>
      <c r="B29" s="169"/>
      <c r="C29" s="169"/>
      <c r="D29" s="169"/>
      <c r="E29" s="169"/>
      <c r="F29" s="169"/>
      <c r="G29" s="176" t="s">
        <v>88</v>
      </c>
      <c r="H29" s="704" t="s">
        <v>31</v>
      </c>
      <c r="I29" s="704"/>
      <c r="J29" s="177" t="s">
        <v>32</v>
      </c>
      <c r="K29" s="178"/>
      <c r="L29" s="179"/>
    </row>
    <row r="30" spans="1:14" ht="21.75" customHeight="1" x14ac:dyDescent="0.5">
      <c r="A30" s="192"/>
      <c r="B30" s="169"/>
      <c r="C30" s="169"/>
      <c r="D30" s="169"/>
      <c r="E30" s="169"/>
      <c r="F30" s="169"/>
      <c r="G30" s="180" t="s">
        <v>33</v>
      </c>
      <c r="H30" s="704"/>
      <c r="I30" s="704"/>
      <c r="J30" s="177" t="s">
        <v>34</v>
      </c>
      <c r="K30" s="178"/>
      <c r="L30" s="179"/>
    </row>
    <row r="31" spans="1:14" ht="23.25" x14ac:dyDescent="0.5">
      <c r="A31" s="195" t="s">
        <v>83</v>
      </c>
      <c r="B31" s="169"/>
      <c r="C31" s="169"/>
      <c r="D31" s="169"/>
      <c r="E31" s="169"/>
      <c r="F31" s="169"/>
      <c r="G31" s="192"/>
      <c r="H31" s="193"/>
      <c r="I31" s="192"/>
      <c r="J31" s="192"/>
      <c r="K31" s="194"/>
      <c r="L31" s="194"/>
    </row>
    <row r="32" spans="1:14" ht="23.25" x14ac:dyDescent="0.5">
      <c r="A32" s="175" t="s">
        <v>46</v>
      </c>
      <c r="B32" s="169"/>
      <c r="C32" s="169"/>
      <c r="D32" s="169"/>
      <c r="E32" s="169"/>
      <c r="F32" s="169"/>
      <c r="G32" s="192"/>
      <c r="H32" s="193"/>
      <c r="I32" s="192"/>
      <c r="J32" s="192"/>
      <c r="K32" s="194"/>
      <c r="L32" s="194"/>
    </row>
    <row r="33" spans="1:12" ht="23.25" x14ac:dyDescent="0.5">
      <c r="A33" s="195" t="s">
        <v>89</v>
      </c>
      <c r="B33" s="169"/>
      <c r="C33" s="169"/>
      <c r="D33" s="169"/>
      <c r="E33" s="169"/>
      <c r="F33" s="169"/>
      <c r="G33" s="192"/>
      <c r="H33" s="193"/>
      <c r="I33" s="192"/>
      <c r="J33" s="192"/>
      <c r="K33" s="194"/>
      <c r="L33" s="194"/>
    </row>
    <row r="34" spans="1:12" ht="23.25" x14ac:dyDescent="0.5">
      <c r="A34" s="195" t="s">
        <v>90</v>
      </c>
      <c r="B34" s="169"/>
      <c r="C34" s="169"/>
      <c r="D34" s="169"/>
      <c r="E34" s="169"/>
      <c r="F34" s="169"/>
      <c r="G34" s="192"/>
      <c r="H34" s="193"/>
      <c r="I34" s="192"/>
      <c r="J34" s="192"/>
      <c r="K34" s="194"/>
      <c r="L34" s="194"/>
    </row>
    <row r="35" spans="1:12" ht="23.25" x14ac:dyDescent="0.5">
      <c r="A35" s="195" t="s">
        <v>91</v>
      </c>
      <c r="B35" s="169"/>
      <c r="C35" s="175"/>
      <c r="D35" s="196"/>
      <c r="E35" s="196"/>
      <c r="F35" s="196"/>
      <c r="G35" s="197"/>
      <c r="H35" s="193"/>
      <c r="I35" s="192"/>
      <c r="J35" s="192"/>
      <c r="K35" s="194"/>
      <c r="L35" s="194"/>
    </row>
    <row r="36" spans="1:12" ht="23.25" x14ac:dyDescent="0.5">
      <c r="A36" s="192"/>
      <c r="B36" s="169"/>
      <c r="C36" s="175" t="s">
        <v>50</v>
      </c>
      <c r="D36" s="169"/>
      <c r="E36" s="169"/>
      <c r="F36" s="169"/>
      <c r="G36" s="192"/>
      <c r="H36" s="193"/>
      <c r="I36" s="192"/>
      <c r="J36" s="192"/>
      <c r="K36" s="194"/>
      <c r="L36" s="194"/>
    </row>
    <row r="37" spans="1:12" ht="23.25" x14ac:dyDescent="0.5">
      <c r="A37" s="192"/>
      <c r="B37" s="169"/>
      <c r="C37" s="175" t="s">
        <v>51</v>
      </c>
      <c r="D37" s="169"/>
      <c r="E37" s="169"/>
      <c r="F37" s="169"/>
      <c r="G37" s="192"/>
      <c r="H37" s="193"/>
      <c r="I37" s="192"/>
      <c r="J37" s="192"/>
      <c r="K37" s="194"/>
      <c r="L37" s="194"/>
    </row>
    <row r="38" spans="1:12" ht="23.25" x14ac:dyDescent="0.5">
      <c r="A38" s="192"/>
      <c r="B38" s="169"/>
      <c r="C38" s="175" t="s">
        <v>52</v>
      </c>
      <c r="D38" s="169"/>
      <c r="E38" s="169"/>
      <c r="F38" s="169"/>
      <c r="G38" s="192"/>
      <c r="H38" s="193"/>
      <c r="I38" s="192"/>
      <c r="J38" s="192"/>
      <c r="K38" s="194"/>
      <c r="L38" s="194"/>
    </row>
    <row r="39" spans="1:12" ht="23.25" x14ac:dyDescent="0.5">
      <c r="A39" s="194" t="s">
        <v>53</v>
      </c>
      <c r="B39" s="169"/>
      <c r="C39" s="169"/>
      <c r="D39" s="169"/>
      <c r="E39" s="169"/>
      <c r="F39" s="169"/>
      <c r="G39" s="192"/>
      <c r="H39" s="193"/>
      <c r="I39" s="192"/>
      <c r="J39" s="192"/>
      <c r="K39" s="194"/>
      <c r="L39" s="194"/>
    </row>
    <row r="40" spans="1:12" ht="23.25" x14ac:dyDescent="0.5">
      <c r="A40" s="195" t="s">
        <v>84</v>
      </c>
      <c r="B40" s="169"/>
      <c r="C40" s="169"/>
      <c r="D40" s="169"/>
      <c r="E40" s="169"/>
      <c r="F40" s="169"/>
      <c r="G40" s="192"/>
      <c r="H40" s="193"/>
      <c r="I40" s="192"/>
      <c r="J40" s="192"/>
      <c r="K40" s="194"/>
      <c r="L40" s="194"/>
    </row>
    <row r="41" spans="1:12" ht="23.25" x14ac:dyDescent="0.5">
      <c r="A41" s="701" t="s">
        <v>85</v>
      </c>
      <c r="B41" s="701"/>
      <c r="C41" s="701"/>
      <c r="D41" s="169"/>
      <c r="E41" s="169"/>
      <c r="F41" s="169"/>
      <c r="G41" s="169"/>
      <c r="H41" s="198"/>
      <c r="I41" s="192"/>
      <c r="J41" s="192"/>
      <c r="K41" s="192"/>
      <c r="L41" s="192"/>
    </row>
    <row r="42" spans="1:12" x14ac:dyDescent="0.25">
      <c r="A42" s="144" t="s">
        <v>69</v>
      </c>
    </row>
    <row r="45" spans="1:12" ht="23.25" x14ac:dyDescent="0.5">
      <c r="A45" s="199"/>
      <c r="B45" s="200"/>
      <c r="C45" s="200"/>
      <c r="D45" s="200"/>
      <c r="E45" s="168"/>
      <c r="F45" s="168"/>
      <c r="G45" s="168"/>
      <c r="H45" s="201"/>
      <c r="I45" s="202"/>
      <c r="J45" s="202"/>
      <c r="K45" s="202"/>
      <c r="L45" s="202"/>
    </row>
    <row r="48" spans="1:12" ht="20.25" x14ac:dyDescent="0.3">
      <c r="I48" s="142"/>
      <c r="J48" s="142"/>
      <c r="K48" s="142"/>
      <c r="L48" s="142"/>
    </row>
  </sheetData>
  <mergeCells count="19">
    <mergeCell ref="H29:I30"/>
    <mergeCell ref="G2:G3"/>
    <mergeCell ref="I2:I3"/>
    <mergeCell ref="J2:J3"/>
    <mergeCell ref="K2:K3"/>
    <mergeCell ref="N2:N3"/>
    <mergeCell ref="H22:I23"/>
    <mergeCell ref="H24:I25"/>
    <mergeCell ref="J24:L24"/>
    <mergeCell ref="G26:H26"/>
    <mergeCell ref="L2:L3"/>
    <mergeCell ref="M2:M3"/>
    <mergeCell ref="C2:C3"/>
    <mergeCell ref="D2:D3"/>
    <mergeCell ref="E2:E3"/>
    <mergeCell ref="F2:F3"/>
    <mergeCell ref="A41:C41"/>
    <mergeCell ref="A2:A3"/>
    <mergeCell ref="B2:B3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0" zoomScale="70" zoomScaleNormal="70" workbookViewId="0">
      <selection activeCell="C11" sqref="C11"/>
    </sheetView>
  </sheetViews>
  <sheetFormatPr defaultRowHeight="21" x14ac:dyDescent="0.45"/>
  <cols>
    <col min="1" max="1" width="14.875" style="461" customWidth="1"/>
    <col min="2" max="2" width="9.125" style="461" customWidth="1"/>
    <col min="3" max="3" width="8.125" style="461" customWidth="1"/>
    <col min="4" max="4" width="8.25" style="461" customWidth="1"/>
    <col min="5" max="5" width="7.25" style="461" customWidth="1"/>
    <col min="6" max="6" width="15.25" style="461" customWidth="1"/>
    <col min="7" max="7" width="15.125" style="461" customWidth="1"/>
    <col min="8" max="8" width="8.5" style="461" customWidth="1"/>
    <col min="9" max="9" width="15" style="461" customWidth="1"/>
    <col min="10" max="10" width="9.25" style="461" customWidth="1"/>
    <col min="11" max="11" width="6.875" style="461" customWidth="1"/>
    <col min="12" max="12" width="7.5" style="461" customWidth="1"/>
    <col min="13" max="13" width="11.5" style="461" hidden="1" customWidth="1"/>
    <col min="14" max="14" width="8.625" style="461" customWidth="1"/>
    <col min="15" max="15" width="13.75" style="461" customWidth="1"/>
    <col min="16" max="17" width="9" style="461" customWidth="1"/>
    <col min="18" max="18" width="6.75" style="461" customWidth="1"/>
    <col min="19" max="16384" width="9" style="461"/>
  </cols>
  <sheetData>
    <row r="1" spans="1:16" ht="41.25" customHeight="1" x14ac:dyDescent="0.45">
      <c r="A1" s="718" t="s">
        <v>160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</row>
    <row r="2" spans="1:16" ht="48" customHeight="1" x14ac:dyDescent="0.45">
      <c r="A2" s="713" t="s">
        <v>1</v>
      </c>
      <c r="B2" s="719" t="s">
        <v>161</v>
      </c>
      <c r="C2" s="719"/>
      <c r="D2" s="719"/>
      <c r="E2" s="719"/>
      <c r="F2" s="719" t="s">
        <v>162</v>
      </c>
      <c r="G2" s="719"/>
      <c r="H2" s="719"/>
      <c r="I2" s="719" t="s">
        <v>163</v>
      </c>
      <c r="J2" s="719"/>
      <c r="K2" s="719"/>
      <c r="L2" s="719" t="s">
        <v>164</v>
      </c>
      <c r="M2" s="469"/>
      <c r="N2" s="713" t="s">
        <v>165</v>
      </c>
    </row>
    <row r="3" spans="1:16" ht="47.25" customHeight="1" x14ac:dyDescent="0.45">
      <c r="A3" s="713"/>
      <c r="B3" s="713" t="s">
        <v>2</v>
      </c>
      <c r="C3" s="713" t="s">
        <v>3</v>
      </c>
      <c r="D3" s="713" t="s">
        <v>4</v>
      </c>
      <c r="E3" s="715" t="s">
        <v>166</v>
      </c>
      <c r="F3" s="716" t="s">
        <v>167</v>
      </c>
      <c r="G3" s="713" t="s">
        <v>168</v>
      </c>
      <c r="H3" s="715" t="s">
        <v>166</v>
      </c>
      <c r="I3" s="717" t="s">
        <v>169</v>
      </c>
      <c r="J3" s="713" t="s">
        <v>170</v>
      </c>
      <c r="K3" s="712" t="s">
        <v>166</v>
      </c>
      <c r="L3" s="719"/>
      <c r="M3" s="713" t="s">
        <v>80</v>
      </c>
      <c r="N3" s="713"/>
    </row>
    <row r="4" spans="1:16" ht="28.5" customHeight="1" x14ac:dyDescent="0.45">
      <c r="A4" s="713"/>
      <c r="B4" s="713"/>
      <c r="C4" s="713"/>
      <c r="D4" s="713"/>
      <c r="E4" s="715"/>
      <c r="F4" s="716"/>
      <c r="G4" s="713"/>
      <c r="H4" s="715"/>
      <c r="I4" s="717"/>
      <c r="J4" s="713"/>
      <c r="K4" s="712"/>
      <c r="L4" s="719"/>
      <c r="M4" s="713"/>
      <c r="N4" s="713"/>
    </row>
    <row r="5" spans="1:16" ht="22.5" customHeight="1" x14ac:dyDescent="0.45">
      <c r="A5" s="453" t="s">
        <v>26</v>
      </c>
      <c r="B5" s="489">
        <v>0.99</v>
      </c>
      <c r="C5" s="489">
        <v>0.9</v>
      </c>
      <c r="D5" s="489">
        <v>0.77</v>
      </c>
      <c r="E5" s="490">
        <v>3</v>
      </c>
      <c r="F5" s="489">
        <v>-269262.82</v>
      </c>
      <c r="G5" s="489">
        <v>4229306.76</v>
      </c>
      <c r="H5" s="490">
        <v>1</v>
      </c>
      <c r="I5" s="455">
        <f t="shared" ref="I5:I16" si="0">SUM(G5/6)</f>
        <v>704884.46</v>
      </c>
      <c r="J5" s="455">
        <f t="shared" ref="J5:J19" si="1">SUM(F5/I5)</f>
        <v>-0.38199568195899797</v>
      </c>
      <c r="K5" s="491">
        <v>0</v>
      </c>
      <c r="L5" s="492">
        <v>4</v>
      </c>
      <c r="M5" s="491">
        <v>4</v>
      </c>
      <c r="N5" s="492">
        <v>4</v>
      </c>
      <c r="P5" s="485"/>
    </row>
    <row r="6" spans="1:16" ht="22.5" customHeight="1" x14ac:dyDescent="0.45">
      <c r="A6" s="453" t="s">
        <v>19</v>
      </c>
      <c r="B6" s="489">
        <v>0.86</v>
      </c>
      <c r="C6" s="489">
        <v>0.74</v>
      </c>
      <c r="D6" s="489">
        <v>0.6</v>
      </c>
      <c r="E6" s="490">
        <v>3</v>
      </c>
      <c r="F6" s="489">
        <v>-4393015.03</v>
      </c>
      <c r="G6" s="489">
        <v>3930268.48</v>
      </c>
      <c r="H6" s="490">
        <v>1</v>
      </c>
      <c r="I6" s="455">
        <f t="shared" si="0"/>
        <v>655044.7466666667</v>
      </c>
      <c r="J6" s="455">
        <f t="shared" si="1"/>
        <v>-6.7064350219657261</v>
      </c>
      <c r="K6" s="491">
        <v>0</v>
      </c>
      <c r="L6" s="492">
        <v>4</v>
      </c>
      <c r="M6" s="491">
        <v>7</v>
      </c>
      <c r="N6" s="492">
        <v>4</v>
      </c>
    </row>
    <row r="7" spans="1:16" ht="22.5" customHeight="1" x14ac:dyDescent="0.45">
      <c r="A7" s="453" t="s">
        <v>22</v>
      </c>
      <c r="B7" s="489">
        <v>1.01</v>
      </c>
      <c r="C7" s="489">
        <v>0.87</v>
      </c>
      <c r="D7" s="489">
        <v>0.73</v>
      </c>
      <c r="E7" s="490">
        <v>3</v>
      </c>
      <c r="F7" s="489">
        <v>300757.48</v>
      </c>
      <c r="G7" s="489">
        <v>3094307.27</v>
      </c>
      <c r="H7" s="490">
        <v>0</v>
      </c>
      <c r="I7" s="455">
        <f t="shared" si="0"/>
        <v>515717.87833333336</v>
      </c>
      <c r="J7" s="455">
        <f t="shared" si="1"/>
        <v>0.58318218668697364</v>
      </c>
      <c r="K7" s="491">
        <v>0</v>
      </c>
      <c r="L7" s="492">
        <v>3</v>
      </c>
      <c r="M7" s="491">
        <v>7</v>
      </c>
      <c r="N7" s="492">
        <v>4</v>
      </c>
    </row>
    <row r="8" spans="1:16" ht="22.5" customHeight="1" x14ac:dyDescent="0.45">
      <c r="A8" s="453" t="s">
        <v>25</v>
      </c>
      <c r="B8" s="489">
        <v>1.1399999999999999</v>
      </c>
      <c r="C8" s="489">
        <v>1.05</v>
      </c>
      <c r="D8" s="489">
        <v>0.73</v>
      </c>
      <c r="E8" s="490">
        <v>2</v>
      </c>
      <c r="F8" s="489">
        <v>3243732.99</v>
      </c>
      <c r="G8" s="489">
        <v>-769282.14</v>
      </c>
      <c r="H8" s="490">
        <v>1</v>
      </c>
      <c r="I8" s="455">
        <f t="shared" si="0"/>
        <v>-128213.69</v>
      </c>
      <c r="J8" s="455">
        <v>25.3</v>
      </c>
      <c r="K8" s="491">
        <v>0</v>
      </c>
      <c r="L8" s="492">
        <v>3</v>
      </c>
      <c r="M8" s="491">
        <v>2</v>
      </c>
      <c r="N8" s="492">
        <v>3</v>
      </c>
    </row>
    <row r="9" spans="1:16" ht="22.5" customHeight="1" x14ac:dyDescent="0.45">
      <c r="A9" s="453" t="s">
        <v>17</v>
      </c>
      <c r="B9" s="489">
        <v>1.1200000000000001</v>
      </c>
      <c r="C9" s="489">
        <v>0.96</v>
      </c>
      <c r="D9" s="489">
        <v>0.88</v>
      </c>
      <c r="E9" s="490">
        <v>2</v>
      </c>
      <c r="F9" s="489">
        <v>2374592.5299999998</v>
      </c>
      <c r="G9" s="489">
        <v>3610547.62</v>
      </c>
      <c r="H9" s="490">
        <v>0</v>
      </c>
      <c r="I9" s="455">
        <f t="shared" si="0"/>
        <v>601757.93666666665</v>
      </c>
      <c r="J9" s="455">
        <f t="shared" si="1"/>
        <v>3.9460925819335957</v>
      </c>
      <c r="K9" s="491">
        <v>0</v>
      </c>
      <c r="L9" s="492">
        <v>2</v>
      </c>
      <c r="M9" s="491">
        <v>2</v>
      </c>
      <c r="N9" s="492">
        <v>2</v>
      </c>
    </row>
    <row r="10" spans="1:16" ht="22.5" customHeight="1" x14ac:dyDescent="0.45">
      <c r="A10" s="453" t="s">
        <v>20</v>
      </c>
      <c r="B10" s="489">
        <v>1.42</v>
      </c>
      <c r="C10" s="489">
        <v>1.29</v>
      </c>
      <c r="D10" s="489">
        <v>1.1200000000000001</v>
      </c>
      <c r="E10" s="490">
        <v>1</v>
      </c>
      <c r="F10" s="489">
        <v>7725204.3899999997</v>
      </c>
      <c r="G10" s="489">
        <v>9495406.3399999999</v>
      </c>
      <c r="H10" s="490">
        <v>0</v>
      </c>
      <c r="I10" s="455">
        <f t="shared" si="0"/>
        <v>1582567.7233333334</v>
      </c>
      <c r="J10" s="455">
        <f t="shared" si="1"/>
        <v>4.8814368422278598</v>
      </c>
      <c r="K10" s="491">
        <v>0</v>
      </c>
      <c r="L10" s="492">
        <v>1</v>
      </c>
      <c r="M10" s="491">
        <v>1</v>
      </c>
      <c r="N10" s="492">
        <v>1</v>
      </c>
    </row>
    <row r="11" spans="1:16" ht="22.5" customHeight="1" x14ac:dyDescent="0.45">
      <c r="A11" s="453" t="s">
        <v>14</v>
      </c>
      <c r="B11" s="489">
        <v>1.1299999999999999</v>
      </c>
      <c r="C11" s="489">
        <v>1.05</v>
      </c>
      <c r="D11" s="489">
        <v>0.89</v>
      </c>
      <c r="E11" s="490">
        <v>1</v>
      </c>
      <c r="F11" s="489">
        <v>4092348.14</v>
      </c>
      <c r="G11" s="489">
        <v>3496407.14</v>
      </c>
      <c r="H11" s="490">
        <v>0</v>
      </c>
      <c r="I11" s="455">
        <f t="shared" si="0"/>
        <v>582734.52333333332</v>
      </c>
      <c r="J11" s="455">
        <f t="shared" si="1"/>
        <v>7.0226629385043529</v>
      </c>
      <c r="K11" s="491">
        <v>0</v>
      </c>
      <c r="L11" s="492">
        <v>1</v>
      </c>
      <c r="M11" s="491">
        <v>3</v>
      </c>
      <c r="N11" s="492">
        <v>1</v>
      </c>
    </row>
    <row r="12" spans="1:16" ht="22.5" customHeight="1" x14ac:dyDescent="0.45">
      <c r="A12" s="453" t="s">
        <v>15</v>
      </c>
      <c r="B12" s="489">
        <v>1.59</v>
      </c>
      <c r="C12" s="489">
        <v>1.45</v>
      </c>
      <c r="D12" s="489">
        <v>1.24</v>
      </c>
      <c r="E12" s="490">
        <v>0</v>
      </c>
      <c r="F12" s="489">
        <v>12766101.029999999</v>
      </c>
      <c r="G12" s="489">
        <v>-1675483.3</v>
      </c>
      <c r="H12" s="490">
        <v>1</v>
      </c>
      <c r="I12" s="455">
        <f t="shared" si="0"/>
        <v>-279247.21666666667</v>
      </c>
      <c r="J12" s="455">
        <v>45.72</v>
      </c>
      <c r="K12" s="491">
        <v>0</v>
      </c>
      <c r="L12" s="492">
        <v>1</v>
      </c>
      <c r="M12" s="491">
        <v>1</v>
      </c>
      <c r="N12" s="492">
        <v>1</v>
      </c>
    </row>
    <row r="13" spans="1:16" ht="22.5" customHeight="1" x14ac:dyDescent="0.45">
      <c r="A13" s="453" t="s">
        <v>16</v>
      </c>
      <c r="B13" s="489">
        <v>2.16</v>
      </c>
      <c r="C13" s="489">
        <v>1.91</v>
      </c>
      <c r="D13" s="489">
        <v>1.59</v>
      </c>
      <c r="E13" s="490">
        <v>0</v>
      </c>
      <c r="F13" s="489">
        <v>13476757.35</v>
      </c>
      <c r="G13" s="489">
        <v>-701228.33</v>
      </c>
      <c r="H13" s="490">
        <v>1</v>
      </c>
      <c r="I13" s="455">
        <f t="shared" si="0"/>
        <v>-116871.38833333332</v>
      </c>
      <c r="J13" s="455">
        <v>115.31</v>
      </c>
      <c r="K13" s="491">
        <v>0</v>
      </c>
      <c r="L13" s="492">
        <v>1</v>
      </c>
      <c r="M13" s="491">
        <v>1</v>
      </c>
      <c r="N13" s="492">
        <v>1</v>
      </c>
    </row>
    <row r="14" spans="1:16" ht="22.5" customHeight="1" x14ac:dyDescent="0.45">
      <c r="A14" s="453" t="s">
        <v>23</v>
      </c>
      <c r="B14" s="489">
        <v>2</v>
      </c>
      <c r="C14" s="489">
        <v>1.66</v>
      </c>
      <c r="D14" s="489">
        <v>1.51</v>
      </c>
      <c r="E14" s="490">
        <v>0</v>
      </c>
      <c r="F14" s="489">
        <v>43238403.460000001</v>
      </c>
      <c r="G14" s="489">
        <v>-344719.54</v>
      </c>
      <c r="H14" s="490">
        <v>1</v>
      </c>
      <c r="I14" s="455">
        <f t="shared" si="0"/>
        <v>-57453.256666666661</v>
      </c>
      <c r="J14" s="455">
        <v>752.58</v>
      </c>
      <c r="K14" s="491">
        <v>0</v>
      </c>
      <c r="L14" s="492">
        <v>1</v>
      </c>
      <c r="M14" s="491">
        <v>1</v>
      </c>
      <c r="N14" s="493">
        <v>0</v>
      </c>
    </row>
    <row r="15" spans="1:16" ht="22.5" customHeight="1" x14ac:dyDescent="0.45">
      <c r="A15" s="453" t="s">
        <v>27</v>
      </c>
      <c r="B15" s="489">
        <v>1.27</v>
      </c>
      <c r="C15" s="489">
        <v>1.1399999999999999</v>
      </c>
      <c r="D15" s="489">
        <v>0.95</v>
      </c>
      <c r="E15" s="490">
        <v>1</v>
      </c>
      <c r="F15" s="489">
        <v>2431749.37</v>
      </c>
      <c r="G15" s="489">
        <v>1835788.56</v>
      </c>
      <c r="H15" s="490">
        <v>0</v>
      </c>
      <c r="I15" s="455">
        <f t="shared" si="0"/>
        <v>305964.76</v>
      </c>
      <c r="J15" s="455">
        <f t="shared" si="1"/>
        <v>7.9478086626708251</v>
      </c>
      <c r="K15" s="491">
        <v>0</v>
      </c>
      <c r="L15" s="492">
        <v>1</v>
      </c>
      <c r="M15" s="491">
        <v>1</v>
      </c>
      <c r="N15" s="492">
        <v>1</v>
      </c>
    </row>
    <row r="16" spans="1:16" ht="22.5" customHeight="1" x14ac:dyDescent="0.45">
      <c r="A16" s="453" t="s">
        <v>12</v>
      </c>
      <c r="B16" s="489">
        <v>4.63</v>
      </c>
      <c r="C16" s="489">
        <v>4.46</v>
      </c>
      <c r="D16" s="489">
        <v>3.14</v>
      </c>
      <c r="E16" s="490">
        <v>0</v>
      </c>
      <c r="F16" s="489">
        <v>646543223.38</v>
      </c>
      <c r="G16" s="489">
        <v>143011424.22</v>
      </c>
      <c r="H16" s="490">
        <v>0</v>
      </c>
      <c r="I16" s="455">
        <f t="shared" si="0"/>
        <v>23835237.370000001</v>
      </c>
      <c r="J16" s="455">
        <f t="shared" si="1"/>
        <v>27.12552064590578</v>
      </c>
      <c r="K16" s="491">
        <v>0</v>
      </c>
      <c r="L16" s="491">
        <f>SUM(E16+H16+K16)</f>
        <v>0</v>
      </c>
      <c r="M16" s="491">
        <v>0</v>
      </c>
      <c r="N16" s="493">
        <v>0</v>
      </c>
    </row>
    <row r="17" spans="1:14" ht="22.5" customHeight="1" x14ac:dyDescent="0.45">
      <c r="A17" s="453" t="s">
        <v>13</v>
      </c>
      <c r="B17" s="489">
        <v>1.59</v>
      </c>
      <c r="C17" s="489">
        <v>1.35</v>
      </c>
      <c r="D17" s="489">
        <v>0.81</v>
      </c>
      <c r="E17" s="490">
        <v>0</v>
      </c>
      <c r="F17" s="489">
        <v>56042472.380000003</v>
      </c>
      <c r="G17" s="489">
        <v>3104321.63</v>
      </c>
      <c r="H17" s="490">
        <v>0</v>
      </c>
      <c r="I17" s="455">
        <f>SUM(G17/6)</f>
        <v>517386.9383333333</v>
      </c>
      <c r="J17" s="455">
        <f t="shared" si="1"/>
        <v>108.31829763722003</v>
      </c>
      <c r="K17" s="491">
        <v>0</v>
      </c>
      <c r="L17" s="491">
        <f>SUM(E17+H17+K17)</f>
        <v>0</v>
      </c>
      <c r="M17" s="491">
        <v>2</v>
      </c>
      <c r="N17" s="492">
        <v>1</v>
      </c>
    </row>
    <row r="18" spans="1:14" ht="22.5" customHeight="1" x14ac:dyDescent="0.45">
      <c r="A18" s="453" t="s">
        <v>18</v>
      </c>
      <c r="B18" s="489">
        <v>1.97</v>
      </c>
      <c r="C18" s="489">
        <v>1.86</v>
      </c>
      <c r="D18" s="489">
        <v>1.56</v>
      </c>
      <c r="E18" s="490">
        <v>0</v>
      </c>
      <c r="F18" s="489">
        <v>44000450.07</v>
      </c>
      <c r="G18" s="489">
        <v>6239669.7199999997</v>
      </c>
      <c r="H18" s="490">
        <v>0</v>
      </c>
      <c r="I18" s="455">
        <f>SUM(G18/6)</f>
        <v>1039944.9533333333</v>
      </c>
      <c r="J18" s="455">
        <f t="shared" si="1"/>
        <v>42.310364533204819</v>
      </c>
      <c r="K18" s="491">
        <v>0</v>
      </c>
      <c r="L18" s="491">
        <f>SUM(E18+H18+K18)</f>
        <v>0</v>
      </c>
      <c r="M18" s="491">
        <v>0</v>
      </c>
      <c r="N18" s="493">
        <v>0</v>
      </c>
    </row>
    <row r="19" spans="1:14" ht="22.5" customHeight="1" x14ac:dyDescent="0.45">
      <c r="A19" s="453" t="s">
        <v>21</v>
      </c>
      <c r="B19" s="489">
        <v>1.51</v>
      </c>
      <c r="C19" s="489">
        <v>1.35</v>
      </c>
      <c r="D19" s="489">
        <v>1.06</v>
      </c>
      <c r="E19" s="490">
        <v>0</v>
      </c>
      <c r="F19" s="489">
        <v>8260889.3700000001</v>
      </c>
      <c r="G19" s="489">
        <v>1800697.18</v>
      </c>
      <c r="H19" s="490">
        <v>0</v>
      </c>
      <c r="I19" s="455">
        <f>SUM(G19/6)</f>
        <v>300116.19666666666</v>
      </c>
      <c r="J19" s="455">
        <f t="shared" si="1"/>
        <v>27.52563660926042</v>
      </c>
      <c r="K19" s="491">
        <v>0</v>
      </c>
      <c r="L19" s="491">
        <f>SUM(E19+H19+K19)</f>
        <v>0</v>
      </c>
      <c r="M19" s="491">
        <v>2</v>
      </c>
      <c r="N19" s="493">
        <v>0</v>
      </c>
    </row>
    <row r="20" spans="1:14" ht="22.5" customHeight="1" x14ac:dyDescent="0.45">
      <c r="A20" s="453" t="s">
        <v>24</v>
      </c>
      <c r="B20" s="489">
        <v>1.83</v>
      </c>
      <c r="C20" s="489">
        <v>1.66</v>
      </c>
      <c r="D20" s="489">
        <v>1.49</v>
      </c>
      <c r="E20" s="490">
        <v>0</v>
      </c>
      <c r="F20" s="489">
        <v>7291874.2199999997</v>
      </c>
      <c r="G20" s="489">
        <v>219.31</v>
      </c>
      <c r="H20" s="490">
        <v>0</v>
      </c>
      <c r="I20" s="455">
        <f>SUM(G20/6)</f>
        <v>36.551666666666669</v>
      </c>
      <c r="J20" s="455"/>
      <c r="K20" s="491">
        <v>0</v>
      </c>
      <c r="L20" s="491">
        <f>SUM(E20+H20+K20)</f>
        <v>0</v>
      </c>
      <c r="M20" s="491">
        <v>0</v>
      </c>
      <c r="N20" s="493">
        <v>0</v>
      </c>
    </row>
    <row r="21" spans="1:14" ht="22.5" customHeight="1" x14ac:dyDescent="0.45">
      <c r="A21" s="469"/>
      <c r="B21" s="469"/>
      <c r="C21" s="469"/>
      <c r="D21" s="469"/>
      <c r="E21" s="469"/>
      <c r="F21" s="470">
        <f>SUM(F5:F20)</f>
        <v>847126278.31000006</v>
      </c>
      <c r="G21" s="470">
        <f>SUM(G5:G20)</f>
        <v>180357650.91999999</v>
      </c>
      <c r="H21" s="469"/>
      <c r="I21" s="469"/>
      <c r="J21" s="471"/>
      <c r="K21" s="471"/>
      <c r="L21" s="471"/>
      <c r="M21" s="469"/>
      <c r="N21" s="469"/>
    </row>
    <row r="22" spans="1:14" ht="27" customHeight="1" x14ac:dyDescent="0.45">
      <c r="F22" s="472"/>
      <c r="G22" s="472"/>
      <c r="J22" s="473"/>
      <c r="K22" s="473"/>
      <c r="L22" s="473"/>
    </row>
    <row r="23" spans="1:14" ht="27" customHeight="1" x14ac:dyDescent="0.45">
      <c r="F23" s="472"/>
      <c r="G23" s="472"/>
      <c r="J23" s="473"/>
      <c r="K23" s="473"/>
      <c r="L23" s="473"/>
    </row>
    <row r="24" spans="1:14" ht="27" customHeight="1" x14ac:dyDescent="0.45">
      <c r="F24" s="472"/>
      <c r="G24" s="472"/>
      <c r="J24" s="473"/>
      <c r="K24" s="473"/>
      <c r="L24" s="473"/>
    </row>
    <row r="25" spans="1:14" ht="27" customHeight="1" x14ac:dyDescent="0.45">
      <c r="F25" s="472"/>
      <c r="G25" s="472"/>
      <c r="J25" s="473"/>
      <c r="K25" s="473"/>
      <c r="L25" s="473"/>
    </row>
    <row r="26" spans="1:14" ht="27" customHeight="1" x14ac:dyDescent="0.45">
      <c r="F26" s="472"/>
      <c r="G26" s="472"/>
      <c r="J26" s="473"/>
      <c r="K26" s="473"/>
      <c r="L26" s="473"/>
    </row>
    <row r="27" spans="1:14" ht="27" customHeight="1" x14ac:dyDescent="0.45">
      <c r="F27" s="472"/>
      <c r="G27" s="472"/>
      <c r="J27" s="473"/>
      <c r="K27" s="473"/>
      <c r="L27" s="473"/>
    </row>
    <row r="28" spans="1:14" ht="27" customHeight="1" x14ac:dyDescent="0.45">
      <c r="F28" s="472"/>
      <c r="G28" s="472"/>
      <c r="J28" s="473"/>
      <c r="K28" s="473"/>
      <c r="L28" s="473"/>
    </row>
    <row r="29" spans="1:14" ht="27" customHeight="1" x14ac:dyDescent="0.45">
      <c r="F29" s="472"/>
      <c r="G29" s="472"/>
      <c r="J29" s="473"/>
      <c r="K29" s="473"/>
      <c r="L29" s="473"/>
    </row>
    <row r="30" spans="1:14" ht="27" customHeight="1" x14ac:dyDescent="0.45">
      <c r="F30" s="472"/>
      <c r="G30" s="472"/>
      <c r="J30" s="473"/>
      <c r="K30" s="473"/>
      <c r="L30" s="473"/>
    </row>
    <row r="31" spans="1:14" ht="27" customHeight="1" x14ac:dyDescent="0.45">
      <c r="F31" s="472"/>
      <c r="G31" s="472"/>
      <c r="J31" s="473"/>
      <c r="K31" s="473"/>
      <c r="L31" s="473"/>
    </row>
    <row r="32" spans="1:14" ht="27" customHeight="1" x14ac:dyDescent="0.45">
      <c r="F32" s="472"/>
      <c r="G32" s="472"/>
      <c r="J32" s="473"/>
      <c r="K32" s="473"/>
      <c r="L32" s="473"/>
    </row>
    <row r="33" spans="1:12" ht="27" customHeight="1" x14ac:dyDescent="0.45">
      <c r="F33" s="472"/>
      <c r="G33" s="472"/>
      <c r="J33" s="473"/>
      <c r="K33" s="473"/>
      <c r="L33" s="473"/>
    </row>
    <row r="34" spans="1:12" ht="22.5" customHeight="1" x14ac:dyDescent="0.45">
      <c r="A34" s="474"/>
      <c r="B34" s="475"/>
      <c r="C34" s="475"/>
      <c r="D34" s="475"/>
      <c r="E34" s="475"/>
      <c r="F34" s="475"/>
      <c r="G34" s="475"/>
      <c r="H34" s="475"/>
      <c r="I34" s="476" t="s">
        <v>28</v>
      </c>
      <c r="J34" s="477"/>
      <c r="K34" s="477"/>
      <c r="L34" s="477"/>
    </row>
    <row r="35" spans="1:12" x14ac:dyDescent="0.45">
      <c r="A35" s="478" t="s">
        <v>29</v>
      </c>
      <c r="B35" s="475"/>
      <c r="C35" s="475"/>
      <c r="D35" s="475"/>
      <c r="E35" s="475"/>
      <c r="F35" s="475"/>
      <c r="G35" s="475"/>
      <c r="H35" s="475"/>
      <c r="I35" s="479" t="s">
        <v>30</v>
      </c>
      <c r="J35" s="714" t="s">
        <v>31</v>
      </c>
      <c r="K35" s="714"/>
      <c r="L35" s="714"/>
    </row>
    <row r="36" spans="1:12" x14ac:dyDescent="0.45">
      <c r="A36" s="478"/>
      <c r="B36" s="475"/>
      <c r="C36" s="475"/>
      <c r="D36" s="475"/>
      <c r="E36" s="475"/>
      <c r="F36" s="475"/>
      <c r="G36" s="475"/>
      <c r="H36" s="475"/>
      <c r="I36" s="479" t="s">
        <v>33</v>
      </c>
      <c r="J36" s="714"/>
      <c r="K36" s="714"/>
      <c r="L36" s="714"/>
    </row>
    <row r="37" spans="1:12" ht="26.25" customHeight="1" x14ac:dyDescent="0.45">
      <c r="A37" s="480" t="s">
        <v>35</v>
      </c>
      <c r="B37" s="475"/>
      <c r="C37" s="475"/>
      <c r="D37" s="475"/>
      <c r="E37" s="475"/>
      <c r="F37" s="475"/>
      <c r="G37" s="475"/>
      <c r="H37" s="475"/>
      <c r="I37" s="481" t="s">
        <v>70</v>
      </c>
      <c r="J37" s="714" t="s">
        <v>31</v>
      </c>
      <c r="K37" s="714"/>
      <c r="L37" s="714"/>
    </row>
    <row r="38" spans="1:12" x14ac:dyDescent="0.45">
      <c r="A38" s="478"/>
      <c r="B38" s="475"/>
      <c r="C38" s="475"/>
      <c r="D38" s="475"/>
      <c r="E38" s="475"/>
      <c r="F38" s="475"/>
      <c r="G38" s="475"/>
      <c r="H38" s="475"/>
      <c r="I38" s="479" t="s">
        <v>33</v>
      </c>
      <c r="J38" s="714"/>
      <c r="K38" s="714"/>
      <c r="L38" s="714"/>
    </row>
    <row r="39" spans="1:12" x14ac:dyDescent="0.45">
      <c r="A39" s="478" t="s">
        <v>38</v>
      </c>
      <c r="B39" s="475"/>
      <c r="C39" s="475"/>
      <c r="D39" s="475"/>
      <c r="E39" s="475"/>
      <c r="F39" s="475"/>
      <c r="G39" s="479" t="s">
        <v>39</v>
      </c>
      <c r="H39" s="479"/>
      <c r="I39" s="714" t="s">
        <v>31</v>
      </c>
      <c r="J39" s="714"/>
      <c r="K39" s="476"/>
      <c r="L39" s="476"/>
    </row>
    <row r="40" spans="1:12" x14ac:dyDescent="0.45">
      <c r="A40" s="482" t="s">
        <v>41</v>
      </c>
      <c r="B40" s="475"/>
      <c r="C40" s="475"/>
      <c r="D40" s="475"/>
      <c r="E40" s="475"/>
      <c r="F40" s="475"/>
      <c r="G40" s="483" t="s">
        <v>71</v>
      </c>
      <c r="H40" s="483"/>
      <c r="I40" s="481"/>
      <c r="J40" s="484"/>
      <c r="K40" s="484"/>
      <c r="L40" s="484"/>
    </row>
    <row r="41" spans="1:12" ht="11.25" customHeight="1" x14ac:dyDescent="0.45">
      <c r="G41" s="475"/>
      <c r="H41" s="475"/>
      <c r="I41" s="485"/>
      <c r="J41" s="486"/>
      <c r="K41" s="486"/>
      <c r="L41" s="486"/>
    </row>
    <row r="42" spans="1:12" ht="23.25" customHeight="1" x14ac:dyDescent="0.45">
      <c r="A42" s="485"/>
      <c r="B42" s="475"/>
      <c r="C42" s="475"/>
      <c r="D42" s="475"/>
      <c r="E42" s="475"/>
      <c r="F42" s="475"/>
      <c r="G42" s="475"/>
      <c r="H42" s="475"/>
      <c r="I42" s="479" t="s">
        <v>72</v>
      </c>
      <c r="J42" s="714" t="s">
        <v>31</v>
      </c>
      <c r="K42" s="714"/>
      <c r="L42" s="714"/>
    </row>
    <row r="43" spans="1:12" ht="21.75" customHeight="1" x14ac:dyDescent="0.45">
      <c r="A43" s="485"/>
      <c r="B43" s="475"/>
      <c r="C43" s="475"/>
      <c r="D43" s="475"/>
      <c r="E43" s="475"/>
      <c r="F43" s="475"/>
      <c r="G43" s="475"/>
      <c r="H43" s="475"/>
      <c r="I43" s="479" t="s">
        <v>33</v>
      </c>
      <c r="J43" s="714"/>
      <c r="K43" s="714"/>
      <c r="L43" s="714"/>
    </row>
    <row r="44" spans="1:12" x14ac:dyDescent="0.45">
      <c r="A44" s="478" t="s">
        <v>83</v>
      </c>
      <c r="B44" s="475"/>
      <c r="C44" s="475"/>
      <c r="D44" s="475"/>
      <c r="E44" s="475"/>
      <c r="F44" s="475"/>
      <c r="G44" s="475"/>
      <c r="H44" s="475"/>
      <c r="I44" s="485"/>
      <c r="J44" s="486"/>
      <c r="K44" s="486"/>
      <c r="L44" s="486"/>
    </row>
    <row r="45" spans="1:12" x14ac:dyDescent="0.45">
      <c r="A45" s="478" t="s">
        <v>46</v>
      </c>
      <c r="B45" s="475"/>
      <c r="C45" s="475"/>
      <c r="D45" s="475"/>
      <c r="E45" s="475"/>
      <c r="F45" s="475"/>
      <c r="G45" s="475"/>
      <c r="H45" s="475"/>
      <c r="I45" s="485"/>
      <c r="J45" s="486"/>
      <c r="K45" s="486"/>
      <c r="L45" s="486"/>
    </row>
    <row r="46" spans="1:12" x14ac:dyDescent="0.45">
      <c r="A46" s="478" t="s">
        <v>197</v>
      </c>
      <c r="B46" s="475"/>
      <c r="C46" s="475"/>
      <c r="D46" s="475"/>
      <c r="E46" s="475"/>
      <c r="F46" s="475"/>
      <c r="G46" s="475"/>
      <c r="H46" s="475"/>
      <c r="I46" s="485"/>
      <c r="J46" s="486"/>
      <c r="K46" s="486"/>
      <c r="L46" s="486"/>
    </row>
    <row r="47" spans="1:12" x14ac:dyDescent="0.45">
      <c r="A47" s="478" t="s">
        <v>198</v>
      </c>
      <c r="B47" s="475"/>
      <c r="C47" s="475"/>
      <c r="D47" s="475"/>
      <c r="E47" s="475"/>
      <c r="F47" s="475"/>
      <c r="G47" s="475"/>
      <c r="H47" s="475"/>
      <c r="I47" s="485"/>
      <c r="J47" s="486"/>
      <c r="K47" s="486"/>
      <c r="L47" s="486"/>
    </row>
    <row r="48" spans="1:12" x14ac:dyDescent="0.45">
      <c r="A48" s="478" t="s">
        <v>199</v>
      </c>
      <c r="B48" s="475"/>
      <c r="C48" s="478"/>
      <c r="D48" s="475"/>
      <c r="E48" s="475"/>
      <c r="F48" s="475"/>
      <c r="G48" s="475"/>
      <c r="H48" s="475"/>
      <c r="I48" s="485"/>
      <c r="J48" s="486"/>
      <c r="K48" s="486"/>
      <c r="L48" s="486"/>
    </row>
    <row r="49" spans="1:12" x14ac:dyDescent="0.45">
      <c r="A49" s="485"/>
      <c r="B49" s="475"/>
      <c r="C49" s="478" t="s">
        <v>50</v>
      </c>
      <c r="D49" s="475"/>
      <c r="E49" s="475"/>
      <c r="F49" s="475"/>
      <c r="G49" s="475"/>
      <c r="H49" s="475"/>
      <c r="I49" s="485"/>
      <c r="J49" s="486"/>
      <c r="K49" s="486"/>
      <c r="L49" s="486"/>
    </row>
    <row r="50" spans="1:12" x14ac:dyDescent="0.45">
      <c r="A50" s="485"/>
      <c r="B50" s="475"/>
      <c r="C50" s="478" t="s">
        <v>51</v>
      </c>
      <c r="D50" s="475"/>
      <c r="E50" s="475"/>
      <c r="F50" s="475"/>
      <c r="G50" s="475"/>
      <c r="H50" s="475"/>
      <c r="I50" s="485"/>
      <c r="J50" s="486"/>
      <c r="K50" s="486"/>
      <c r="L50" s="486"/>
    </row>
    <row r="51" spans="1:12" x14ac:dyDescent="0.45">
      <c r="A51" s="485"/>
      <c r="B51" s="475"/>
      <c r="C51" s="478" t="s">
        <v>52</v>
      </c>
      <c r="D51" s="475"/>
      <c r="E51" s="475"/>
      <c r="F51" s="475"/>
      <c r="G51" s="475"/>
      <c r="H51" s="475"/>
      <c r="I51" s="485"/>
      <c r="J51" s="486"/>
      <c r="K51" s="486"/>
      <c r="L51" s="486"/>
    </row>
    <row r="52" spans="1:12" x14ac:dyDescent="0.45">
      <c r="A52" s="461" t="s">
        <v>53</v>
      </c>
      <c r="B52" s="475"/>
      <c r="C52" s="475"/>
      <c r="D52" s="475"/>
      <c r="E52" s="475"/>
      <c r="F52" s="475"/>
      <c r="G52" s="475"/>
      <c r="H52" s="475"/>
      <c r="I52" s="485"/>
      <c r="J52" s="486"/>
      <c r="K52" s="486"/>
      <c r="L52" s="486"/>
    </row>
    <row r="53" spans="1:12" x14ac:dyDescent="0.45">
      <c r="A53" s="478" t="s">
        <v>84</v>
      </c>
      <c r="B53" s="475"/>
      <c r="C53" s="475"/>
      <c r="D53" s="475"/>
      <c r="E53" s="475"/>
      <c r="F53" s="475"/>
      <c r="G53" s="475"/>
      <c r="H53" s="475"/>
      <c r="I53" s="485"/>
      <c r="J53" s="486"/>
      <c r="K53" s="486"/>
      <c r="L53" s="486"/>
    </row>
    <row r="54" spans="1:12" x14ac:dyDescent="0.45">
      <c r="A54" s="711" t="s">
        <v>171</v>
      </c>
      <c r="B54" s="711"/>
      <c r="C54" s="711"/>
      <c r="D54" s="475"/>
      <c r="E54" s="475"/>
      <c r="F54" s="475"/>
      <c r="G54" s="475"/>
      <c r="H54" s="475"/>
      <c r="I54" s="475"/>
      <c r="J54" s="477"/>
      <c r="K54" s="477"/>
      <c r="L54" s="477"/>
    </row>
    <row r="55" spans="1:12" x14ac:dyDescent="0.45">
      <c r="A55" s="461" t="s">
        <v>69</v>
      </c>
    </row>
    <row r="58" spans="1:12" x14ac:dyDescent="0.45">
      <c r="A58" s="474"/>
      <c r="B58" s="487"/>
      <c r="C58" s="487"/>
      <c r="D58" s="487"/>
      <c r="E58" s="487"/>
      <c r="F58" s="475"/>
      <c r="G58" s="475"/>
      <c r="H58" s="475"/>
      <c r="I58" s="475"/>
      <c r="J58" s="488"/>
      <c r="K58" s="488"/>
      <c r="L58" s="488"/>
    </row>
  </sheetData>
  <mergeCells count="23">
    <mergeCell ref="A1:N1"/>
    <mergeCell ref="A2:A4"/>
    <mergeCell ref="B2:E2"/>
    <mergeCell ref="F2:H2"/>
    <mergeCell ref="I2:K2"/>
    <mergeCell ref="L2:L4"/>
    <mergeCell ref="N2:N4"/>
    <mergeCell ref="B3:B4"/>
    <mergeCell ref="C3:C4"/>
    <mergeCell ref="D3:D4"/>
    <mergeCell ref="A54:C54"/>
    <mergeCell ref="K3:K4"/>
    <mergeCell ref="M3:M4"/>
    <mergeCell ref="J35:L36"/>
    <mergeCell ref="J37:L38"/>
    <mergeCell ref="I39:J39"/>
    <mergeCell ref="J42:L43"/>
    <mergeCell ref="E3:E4"/>
    <mergeCell ref="F3:F4"/>
    <mergeCell ref="G3:G4"/>
    <mergeCell ref="H3:H4"/>
    <mergeCell ref="I3:I4"/>
    <mergeCell ref="J3:J4"/>
  </mergeCells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zoomScale="70" zoomScaleNormal="70" workbookViewId="0">
      <selection activeCell="A8" sqref="A8"/>
    </sheetView>
  </sheetViews>
  <sheetFormatPr defaultRowHeight="21" x14ac:dyDescent="0.45"/>
  <cols>
    <col min="1" max="1" width="14.5" style="461" customWidth="1"/>
    <col min="2" max="2" width="9.125" style="461" customWidth="1"/>
    <col min="3" max="3" width="8.125" style="461" customWidth="1"/>
    <col min="4" max="4" width="8.25" style="461" customWidth="1"/>
    <col min="5" max="5" width="9.25" style="461" customWidth="1"/>
    <col min="6" max="6" width="14.5" style="461" customWidth="1"/>
    <col min="7" max="7" width="13.875" style="461" customWidth="1"/>
    <col min="8" max="8" width="8.5" style="461" customWidth="1"/>
    <col min="9" max="9" width="16.375" style="461" customWidth="1"/>
    <col min="10" max="11" width="9.625" style="461" customWidth="1"/>
    <col min="12" max="12" width="11.25" style="461" customWidth="1"/>
    <col min="13" max="13" width="11.5" style="461" hidden="1" customWidth="1"/>
    <col min="14" max="14" width="14.75" style="461" customWidth="1"/>
    <col min="15" max="15" width="13.75" style="461" customWidth="1"/>
    <col min="16" max="17" width="9" style="461" customWidth="1"/>
    <col min="18" max="18" width="6.75" style="461" customWidth="1"/>
    <col min="19" max="19" width="9.125" style="461" bestFit="1" customWidth="1"/>
    <col min="20" max="21" width="16.875" style="461" bestFit="1" customWidth="1"/>
    <col min="22" max="22" width="9.125" style="461" bestFit="1" customWidth="1"/>
    <col min="23" max="23" width="16.25" style="461" bestFit="1" customWidth="1"/>
    <col min="24" max="26" width="9.125" style="461" bestFit="1" customWidth="1"/>
    <col min="27" max="16384" width="9" style="461"/>
  </cols>
  <sheetData>
    <row r="1" spans="1:28" ht="27" customHeight="1" x14ac:dyDescent="0.45">
      <c r="A1" s="718" t="s">
        <v>181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 t="s">
        <v>182</v>
      </c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</row>
    <row r="2" spans="1:28" ht="27.75" customHeight="1" x14ac:dyDescent="0.45">
      <c r="A2" s="713" t="s">
        <v>1</v>
      </c>
      <c r="B2" s="713" t="s">
        <v>186</v>
      </c>
      <c r="C2" s="713"/>
      <c r="D2" s="713"/>
      <c r="E2" s="713"/>
      <c r="F2" s="713" t="s">
        <v>187</v>
      </c>
      <c r="G2" s="713"/>
      <c r="H2" s="713"/>
      <c r="I2" s="713" t="s">
        <v>188</v>
      </c>
      <c r="J2" s="713"/>
      <c r="K2" s="713"/>
      <c r="L2" s="713" t="s">
        <v>179</v>
      </c>
      <c r="O2" s="721" t="s">
        <v>1</v>
      </c>
      <c r="P2" s="721" t="s">
        <v>186</v>
      </c>
      <c r="Q2" s="721"/>
      <c r="R2" s="721"/>
      <c r="S2" s="721"/>
      <c r="T2" s="721" t="s">
        <v>189</v>
      </c>
      <c r="U2" s="721"/>
      <c r="V2" s="721"/>
      <c r="W2" s="721" t="s">
        <v>190</v>
      </c>
      <c r="X2" s="721"/>
      <c r="Y2" s="721"/>
      <c r="Z2" s="721" t="s">
        <v>179</v>
      </c>
    </row>
    <row r="3" spans="1:28" ht="32.25" customHeight="1" x14ac:dyDescent="0.45">
      <c r="A3" s="713"/>
      <c r="B3" s="713" t="s">
        <v>191</v>
      </c>
      <c r="C3" s="713"/>
      <c r="D3" s="713"/>
      <c r="E3" s="713"/>
      <c r="F3" s="713" t="s">
        <v>192</v>
      </c>
      <c r="G3" s="713"/>
      <c r="H3" s="713"/>
      <c r="I3" s="713" t="s">
        <v>193</v>
      </c>
      <c r="J3" s="713"/>
      <c r="K3" s="713"/>
      <c r="L3" s="713"/>
      <c r="O3" s="721"/>
      <c r="P3" s="721" t="s">
        <v>191</v>
      </c>
      <c r="Q3" s="721"/>
      <c r="R3" s="721"/>
      <c r="S3" s="721"/>
      <c r="T3" s="721" t="s">
        <v>194</v>
      </c>
      <c r="U3" s="721"/>
      <c r="V3" s="721"/>
      <c r="W3" s="721" t="s">
        <v>195</v>
      </c>
      <c r="X3" s="721"/>
      <c r="Y3" s="721"/>
      <c r="Z3" s="721"/>
    </row>
    <row r="4" spans="1:28" ht="56.25" customHeight="1" x14ac:dyDescent="0.45">
      <c r="A4" s="713"/>
      <c r="B4" s="451" t="s">
        <v>119</v>
      </c>
      <c r="C4" s="451" t="s">
        <v>120</v>
      </c>
      <c r="D4" s="451" t="s">
        <v>121</v>
      </c>
      <c r="E4" s="452" t="s">
        <v>172</v>
      </c>
      <c r="F4" s="451" t="s">
        <v>122</v>
      </c>
      <c r="G4" s="451" t="s">
        <v>184</v>
      </c>
      <c r="H4" s="452" t="s">
        <v>172</v>
      </c>
      <c r="I4" s="713" t="s">
        <v>173</v>
      </c>
      <c r="J4" s="713" t="s">
        <v>170</v>
      </c>
      <c r="K4" s="720" t="s">
        <v>166</v>
      </c>
      <c r="L4" s="713"/>
      <c r="O4" s="721"/>
      <c r="P4" s="462" t="s">
        <v>119</v>
      </c>
      <c r="Q4" s="462" t="s">
        <v>120</v>
      </c>
      <c r="R4" s="462" t="s">
        <v>121</v>
      </c>
      <c r="S4" s="722" t="s">
        <v>166</v>
      </c>
      <c r="T4" s="462" t="s">
        <v>122</v>
      </c>
      <c r="U4" s="721" t="s">
        <v>180</v>
      </c>
      <c r="V4" s="722" t="s">
        <v>166</v>
      </c>
      <c r="W4" s="721" t="s">
        <v>126</v>
      </c>
      <c r="X4" s="462" t="s">
        <v>8</v>
      </c>
      <c r="Y4" s="722" t="s">
        <v>166</v>
      </c>
      <c r="Z4" s="721"/>
    </row>
    <row r="5" spans="1:28" ht="36" customHeight="1" x14ac:dyDescent="0.45">
      <c r="A5" s="713"/>
      <c r="B5" s="451" t="s">
        <v>174</v>
      </c>
      <c r="C5" s="451" t="s">
        <v>175</v>
      </c>
      <c r="D5" s="451" t="s">
        <v>176</v>
      </c>
      <c r="E5" s="452" t="s">
        <v>177</v>
      </c>
      <c r="F5" s="451" t="s">
        <v>178</v>
      </c>
      <c r="G5" s="451" t="s">
        <v>125</v>
      </c>
      <c r="H5" s="452" t="s">
        <v>177</v>
      </c>
      <c r="I5" s="713"/>
      <c r="J5" s="713"/>
      <c r="K5" s="720"/>
      <c r="L5" s="713"/>
      <c r="O5" s="721"/>
      <c r="P5" s="462" t="s">
        <v>174</v>
      </c>
      <c r="Q5" s="462" t="s">
        <v>175</v>
      </c>
      <c r="R5" s="462" t="s">
        <v>176</v>
      </c>
      <c r="S5" s="722"/>
      <c r="T5" s="462" t="s">
        <v>123</v>
      </c>
      <c r="U5" s="721"/>
      <c r="V5" s="722"/>
      <c r="W5" s="721"/>
      <c r="X5" s="462"/>
      <c r="Y5" s="722"/>
      <c r="Z5" s="721"/>
    </row>
    <row r="6" spans="1:28" ht="20.25" customHeight="1" x14ac:dyDescent="0.45">
      <c r="A6" s="453" t="s">
        <v>25</v>
      </c>
      <c r="B6" s="454">
        <v>1.03</v>
      </c>
      <c r="C6" s="454">
        <v>0.94</v>
      </c>
      <c r="D6" s="454">
        <v>0.6</v>
      </c>
      <c r="E6" s="451">
        <v>3</v>
      </c>
      <c r="F6" s="463">
        <v>782886.27</v>
      </c>
      <c r="G6" s="463">
        <v>-3431332.27</v>
      </c>
      <c r="H6" s="451">
        <v>1</v>
      </c>
      <c r="I6" s="455">
        <v>-490190.32</v>
      </c>
      <c r="J6" s="454">
        <v>1.6</v>
      </c>
      <c r="K6" s="454">
        <v>2</v>
      </c>
      <c r="L6" s="454">
        <v>6</v>
      </c>
      <c r="O6" s="464" t="s">
        <v>19</v>
      </c>
      <c r="P6" s="465">
        <v>0.83</v>
      </c>
      <c r="Q6" s="465">
        <v>0.72</v>
      </c>
      <c r="R6" s="465">
        <v>0.59</v>
      </c>
      <c r="S6" s="462">
        <v>3</v>
      </c>
      <c r="T6" s="466">
        <v>-4973201.8</v>
      </c>
      <c r="U6" s="466">
        <v>3984626.86</v>
      </c>
      <c r="V6" s="465">
        <v>1</v>
      </c>
      <c r="W6" s="467">
        <v>569232.41</v>
      </c>
      <c r="X6" s="465"/>
      <c r="Y6" s="465">
        <v>0</v>
      </c>
      <c r="Z6" s="465">
        <v>4</v>
      </c>
    </row>
    <row r="7" spans="1:28" ht="20.25" customHeight="1" x14ac:dyDescent="0.45">
      <c r="A7" s="453" t="s">
        <v>19</v>
      </c>
      <c r="B7" s="454">
        <v>0.83</v>
      </c>
      <c r="C7" s="454">
        <v>0.72</v>
      </c>
      <c r="D7" s="454">
        <v>0.59</v>
      </c>
      <c r="E7" s="451">
        <v>3</v>
      </c>
      <c r="F7" s="463">
        <v>-4973201.8</v>
      </c>
      <c r="G7" s="463">
        <v>3160707</v>
      </c>
      <c r="H7" s="451">
        <v>1</v>
      </c>
      <c r="I7" s="455">
        <v>451529.57</v>
      </c>
      <c r="J7" s="454"/>
      <c r="K7" s="454">
        <v>0</v>
      </c>
      <c r="L7" s="454">
        <v>4</v>
      </c>
      <c r="O7" s="464" t="s">
        <v>22</v>
      </c>
      <c r="P7" s="465">
        <v>0.88</v>
      </c>
      <c r="Q7" s="465">
        <v>0.74</v>
      </c>
      <c r="R7" s="465">
        <v>0.6</v>
      </c>
      <c r="S7" s="462">
        <v>3</v>
      </c>
      <c r="T7" s="466">
        <v>-2321894.46</v>
      </c>
      <c r="U7" s="466">
        <v>1956323.61</v>
      </c>
      <c r="V7" s="465">
        <v>1</v>
      </c>
      <c r="W7" s="467">
        <v>279474.8</v>
      </c>
      <c r="X7" s="465"/>
      <c r="Y7" s="465">
        <v>0</v>
      </c>
      <c r="Z7" s="465">
        <v>4</v>
      </c>
    </row>
    <row r="8" spans="1:28" ht="20.25" customHeight="1" x14ac:dyDescent="0.45">
      <c r="A8" s="453" t="s">
        <v>22</v>
      </c>
      <c r="B8" s="454">
        <v>0.88</v>
      </c>
      <c r="C8" s="454">
        <v>0.74</v>
      </c>
      <c r="D8" s="454">
        <v>0.6</v>
      </c>
      <c r="E8" s="451">
        <v>3</v>
      </c>
      <c r="F8" s="463">
        <v>-2321894.46</v>
      </c>
      <c r="G8" s="463">
        <v>174927.77</v>
      </c>
      <c r="H8" s="451">
        <v>1</v>
      </c>
      <c r="I8" s="455">
        <v>24989.68</v>
      </c>
      <c r="J8" s="454"/>
      <c r="K8" s="454">
        <v>0</v>
      </c>
      <c r="L8" s="454">
        <v>4</v>
      </c>
      <c r="O8" s="464" t="s">
        <v>25</v>
      </c>
      <c r="P8" s="465">
        <v>1.03</v>
      </c>
      <c r="Q8" s="465">
        <v>0.94</v>
      </c>
      <c r="R8" s="465">
        <v>0.6</v>
      </c>
      <c r="S8" s="462">
        <v>3</v>
      </c>
      <c r="T8" s="466">
        <v>782886.27</v>
      </c>
      <c r="U8" s="466">
        <v>-811841.97</v>
      </c>
      <c r="V8" s="465">
        <v>1</v>
      </c>
      <c r="W8" s="467">
        <v>-115977.42</v>
      </c>
      <c r="X8" s="465">
        <v>6.75</v>
      </c>
      <c r="Y8" s="465">
        <v>0</v>
      </c>
      <c r="Z8" s="465">
        <v>4</v>
      </c>
    </row>
    <row r="9" spans="1:28" ht="20.25" customHeight="1" x14ac:dyDescent="0.45">
      <c r="A9" s="453" t="s">
        <v>26</v>
      </c>
      <c r="B9" s="454">
        <v>0.96</v>
      </c>
      <c r="C9" s="454">
        <v>0.87</v>
      </c>
      <c r="D9" s="454">
        <v>0.71</v>
      </c>
      <c r="E9" s="451">
        <v>3</v>
      </c>
      <c r="F9" s="463">
        <v>-628738.63</v>
      </c>
      <c r="G9" s="463">
        <v>3228908.68</v>
      </c>
      <c r="H9" s="451">
        <v>1</v>
      </c>
      <c r="I9" s="455">
        <v>461272.67</v>
      </c>
      <c r="J9" s="454"/>
      <c r="K9" s="454">
        <v>0</v>
      </c>
      <c r="L9" s="454">
        <v>4</v>
      </c>
      <c r="O9" s="464" t="s">
        <v>26</v>
      </c>
      <c r="P9" s="465">
        <v>0.96</v>
      </c>
      <c r="Q9" s="465">
        <v>0.87</v>
      </c>
      <c r="R9" s="465">
        <v>0.71</v>
      </c>
      <c r="S9" s="462">
        <v>3</v>
      </c>
      <c r="T9" s="466">
        <v>-628738.63</v>
      </c>
      <c r="U9" s="466">
        <v>5550663.9500000002</v>
      </c>
      <c r="V9" s="465">
        <v>1</v>
      </c>
      <c r="W9" s="467">
        <v>792951.99</v>
      </c>
      <c r="X9" s="465"/>
      <c r="Y9" s="465">
        <v>0</v>
      </c>
      <c r="Z9" s="465">
        <v>4</v>
      </c>
    </row>
    <row r="10" spans="1:28" ht="20.25" customHeight="1" x14ac:dyDescent="0.45">
      <c r="A10" s="453" t="s">
        <v>27</v>
      </c>
      <c r="B10" s="454">
        <v>1.05</v>
      </c>
      <c r="C10" s="454">
        <v>0.94</v>
      </c>
      <c r="D10" s="454">
        <v>0.76</v>
      </c>
      <c r="E10" s="451">
        <v>3</v>
      </c>
      <c r="F10" s="463">
        <v>527102.23</v>
      </c>
      <c r="G10" s="463">
        <v>-260715.48</v>
      </c>
      <c r="H10" s="451">
        <v>1</v>
      </c>
      <c r="I10" s="455">
        <v>-37245.07</v>
      </c>
      <c r="J10" s="454">
        <v>14.15</v>
      </c>
      <c r="K10" s="454">
        <v>0</v>
      </c>
      <c r="L10" s="454">
        <v>4</v>
      </c>
      <c r="O10" s="464" t="s">
        <v>15</v>
      </c>
      <c r="P10" s="465">
        <v>1.43</v>
      </c>
      <c r="Q10" s="465">
        <v>1.31</v>
      </c>
      <c r="R10" s="465">
        <v>1.0900000000000001</v>
      </c>
      <c r="S10" s="462">
        <v>1</v>
      </c>
      <c r="T10" s="466">
        <v>9148211.0399999991</v>
      </c>
      <c r="U10" s="466">
        <v>-6838.47</v>
      </c>
      <c r="V10" s="465">
        <v>1</v>
      </c>
      <c r="W10" s="465">
        <v>-976.92</v>
      </c>
      <c r="X10" s="465">
        <v>9364.2999999999993</v>
      </c>
      <c r="Y10" s="465">
        <v>0</v>
      </c>
      <c r="Z10" s="465">
        <v>2</v>
      </c>
    </row>
    <row r="11" spans="1:28" ht="20.25" customHeight="1" x14ac:dyDescent="0.45">
      <c r="A11" s="453" t="s">
        <v>15</v>
      </c>
      <c r="B11" s="454">
        <v>1.43</v>
      </c>
      <c r="C11" s="454">
        <v>1.31</v>
      </c>
      <c r="D11" s="454">
        <v>1.0900000000000001</v>
      </c>
      <c r="E11" s="451">
        <v>1</v>
      </c>
      <c r="F11" s="463">
        <v>9148211.0399999991</v>
      </c>
      <c r="G11" s="463">
        <v>-2449399.5</v>
      </c>
      <c r="H11" s="451">
        <v>1</v>
      </c>
      <c r="I11" s="455">
        <v>-349914.21</v>
      </c>
      <c r="J11" s="454">
        <v>26.14</v>
      </c>
      <c r="K11" s="454">
        <v>0</v>
      </c>
      <c r="L11" s="454">
        <v>2</v>
      </c>
      <c r="O11" s="464" t="s">
        <v>17</v>
      </c>
      <c r="P11" s="465">
        <v>1.05</v>
      </c>
      <c r="Q11" s="465">
        <v>0.91</v>
      </c>
      <c r="R11" s="465">
        <v>0.84</v>
      </c>
      <c r="S11" s="462">
        <v>2</v>
      </c>
      <c r="T11" s="466">
        <v>994703.29</v>
      </c>
      <c r="U11" s="466">
        <v>3815598.37</v>
      </c>
      <c r="V11" s="465">
        <v>0</v>
      </c>
      <c r="W11" s="467">
        <v>545085.48</v>
      </c>
      <c r="X11" s="465"/>
      <c r="Y11" s="465">
        <v>0</v>
      </c>
      <c r="Z11" s="465">
        <v>2</v>
      </c>
    </row>
    <row r="12" spans="1:28" ht="20.25" customHeight="1" x14ac:dyDescent="0.45">
      <c r="A12" s="453" t="s">
        <v>17</v>
      </c>
      <c r="B12" s="454">
        <v>1.05</v>
      </c>
      <c r="C12" s="454">
        <v>0.91</v>
      </c>
      <c r="D12" s="454">
        <v>0.84</v>
      </c>
      <c r="E12" s="451">
        <v>2</v>
      </c>
      <c r="F12" s="463">
        <v>994703.29</v>
      </c>
      <c r="G12" s="463">
        <v>2201652.36</v>
      </c>
      <c r="H12" s="451">
        <v>0</v>
      </c>
      <c r="I12" s="455">
        <v>314521.77</v>
      </c>
      <c r="J12" s="454"/>
      <c r="K12" s="454">
        <v>0</v>
      </c>
      <c r="L12" s="454">
        <v>2</v>
      </c>
      <c r="O12" s="464" t="s">
        <v>14</v>
      </c>
      <c r="P12" s="465">
        <v>1.1399999999999999</v>
      </c>
      <c r="Q12" s="465">
        <v>1.06</v>
      </c>
      <c r="R12" s="465">
        <v>0.89</v>
      </c>
      <c r="S12" s="462">
        <v>1</v>
      </c>
      <c r="T12" s="466">
        <v>3289894.99</v>
      </c>
      <c r="U12" s="466">
        <v>4233970.37</v>
      </c>
      <c r="V12" s="465">
        <v>0</v>
      </c>
      <c r="W12" s="467">
        <v>604852.91</v>
      </c>
      <c r="X12" s="465"/>
      <c r="Y12" s="465">
        <v>0</v>
      </c>
      <c r="Z12" s="465">
        <v>1</v>
      </c>
    </row>
    <row r="13" spans="1:28" ht="20.25" customHeight="1" x14ac:dyDescent="0.45">
      <c r="A13" s="453" t="s">
        <v>16</v>
      </c>
      <c r="B13" s="454">
        <v>1.61</v>
      </c>
      <c r="C13" s="454">
        <v>1.41</v>
      </c>
      <c r="D13" s="454">
        <v>1.19</v>
      </c>
      <c r="E13" s="451">
        <v>0</v>
      </c>
      <c r="F13" s="463">
        <v>8685061.7599999998</v>
      </c>
      <c r="G13" s="463">
        <v>-3572296.26</v>
      </c>
      <c r="H13" s="451">
        <v>1</v>
      </c>
      <c r="I13" s="455">
        <v>-510328.04</v>
      </c>
      <c r="J13" s="454">
        <v>17.02</v>
      </c>
      <c r="K13" s="454">
        <v>0</v>
      </c>
      <c r="L13" s="454">
        <v>1</v>
      </c>
      <c r="O13" s="464" t="s">
        <v>16</v>
      </c>
      <c r="P13" s="465">
        <v>1.61</v>
      </c>
      <c r="Q13" s="465">
        <v>1.41</v>
      </c>
      <c r="R13" s="465">
        <v>1.19</v>
      </c>
      <c r="S13" s="462">
        <v>0</v>
      </c>
      <c r="T13" s="466">
        <v>8685061.7599999998</v>
      </c>
      <c r="U13" s="466">
        <v>-574872.97</v>
      </c>
      <c r="V13" s="465">
        <v>1</v>
      </c>
      <c r="W13" s="467">
        <v>-82124.710000000006</v>
      </c>
      <c r="X13" s="465">
        <v>105.75</v>
      </c>
      <c r="Y13" s="465">
        <v>0</v>
      </c>
      <c r="Z13" s="465">
        <v>1</v>
      </c>
    </row>
    <row r="14" spans="1:28" ht="20.25" customHeight="1" x14ac:dyDescent="0.45">
      <c r="A14" s="453" t="s">
        <v>20</v>
      </c>
      <c r="B14" s="454">
        <v>1.23</v>
      </c>
      <c r="C14" s="454">
        <v>1.08</v>
      </c>
      <c r="D14" s="454">
        <v>0.91</v>
      </c>
      <c r="E14" s="451">
        <v>1</v>
      </c>
      <c r="F14" s="463">
        <v>4005617.43</v>
      </c>
      <c r="G14" s="463">
        <v>7670866.0899999999</v>
      </c>
      <c r="H14" s="451">
        <v>0</v>
      </c>
      <c r="I14" s="455">
        <v>1095838.01</v>
      </c>
      <c r="J14" s="454"/>
      <c r="K14" s="454">
        <v>0</v>
      </c>
      <c r="L14" s="454">
        <v>1</v>
      </c>
      <c r="O14" s="464" t="s">
        <v>20</v>
      </c>
      <c r="P14" s="465">
        <v>1.23</v>
      </c>
      <c r="Q14" s="465">
        <v>1.08</v>
      </c>
      <c r="R14" s="465">
        <v>0.91</v>
      </c>
      <c r="S14" s="462">
        <v>1</v>
      </c>
      <c r="T14" s="466">
        <v>4005617.43</v>
      </c>
      <c r="U14" s="466">
        <v>9799808.2200000007</v>
      </c>
      <c r="V14" s="465">
        <v>0</v>
      </c>
      <c r="W14" s="467">
        <v>1399972.6</v>
      </c>
      <c r="X14" s="465"/>
      <c r="Y14" s="465">
        <v>0</v>
      </c>
      <c r="Z14" s="465">
        <v>1</v>
      </c>
    </row>
    <row r="15" spans="1:28" ht="20.25" customHeight="1" x14ac:dyDescent="0.45">
      <c r="A15" s="453" t="s">
        <v>21</v>
      </c>
      <c r="B15" s="454">
        <v>1.45</v>
      </c>
      <c r="C15" s="454">
        <v>1.26</v>
      </c>
      <c r="D15" s="454">
        <v>0.97</v>
      </c>
      <c r="E15" s="451">
        <v>1</v>
      </c>
      <c r="F15" s="463">
        <v>7150434.8799999999</v>
      </c>
      <c r="G15" s="468">
        <v>753.92</v>
      </c>
      <c r="H15" s="451">
        <v>0</v>
      </c>
      <c r="I15" s="454">
        <v>107.7</v>
      </c>
      <c r="J15" s="454"/>
      <c r="K15" s="454">
        <v>0</v>
      </c>
      <c r="L15" s="454">
        <v>1</v>
      </c>
      <c r="O15" s="464" t="s">
        <v>21</v>
      </c>
      <c r="P15" s="465">
        <v>1.45</v>
      </c>
      <c r="Q15" s="465">
        <v>1.26</v>
      </c>
      <c r="R15" s="465">
        <v>0.97</v>
      </c>
      <c r="S15" s="462">
        <v>1</v>
      </c>
      <c r="T15" s="466">
        <v>7150434.8799999999</v>
      </c>
      <c r="U15" s="466">
        <v>2174317.4</v>
      </c>
      <c r="V15" s="465">
        <v>0</v>
      </c>
      <c r="W15" s="467">
        <v>310616.77</v>
      </c>
      <c r="X15" s="465"/>
      <c r="Y15" s="465">
        <v>0</v>
      </c>
      <c r="Z15" s="465">
        <v>1</v>
      </c>
    </row>
    <row r="16" spans="1:28" ht="20.25" customHeight="1" x14ac:dyDescent="0.45">
      <c r="A16" s="453" t="s">
        <v>23</v>
      </c>
      <c r="B16" s="454">
        <v>1.97</v>
      </c>
      <c r="C16" s="454">
        <v>1.63</v>
      </c>
      <c r="D16" s="454">
        <v>1.46</v>
      </c>
      <c r="E16" s="451">
        <v>0</v>
      </c>
      <c r="F16" s="463">
        <v>41714549.789999999</v>
      </c>
      <c r="G16" s="463">
        <v>-1573937.07</v>
      </c>
      <c r="H16" s="451">
        <v>1</v>
      </c>
      <c r="I16" s="455">
        <v>-224848.15</v>
      </c>
      <c r="J16" s="454">
        <v>185.52</v>
      </c>
      <c r="K16" s="454">
        <v>0</v>
      </c>
      <c r="L16" s="454">
        <v>1</v>
      </c>
      <c r="O16" s="464" t="s">
        <v>24</v>
      </c>
      <c r="P16" s="465">
        <v>1.59</v>
      </c>
      <c r="Q16" s="465">
        <v>1.44</v>
      </c>
      <c r="R16" s="465">
        <v>1.3</v>
      </c>
      <c r="S16" s="462">
        <v>0</v>
      </c>
      <c r="T16" s="466">
        <v>5477833.29</v>
      </c>
      <c r="U16" s="466">
        <v>-1500665.34</v>
      </c>
      <c r="V16" s="465">
        <v>1</v>
      </c>
      <c r="W16" s="467">
        <v>-214380.76</v>
      </c>
      <c r="X16" s="465">
        <v>25.55</v>
      </c>
      <c r="Y16" s="465">
        <v>0</v>
      </c>
      <c r="Z16" s="465">
        <v>1</v>
      </c>
    </row>
    <row r="17" spans="1:26" ht="20.25" customHeight="1" x14ac:dyDescent="0.45">
      <c r="A17" s="453" t="s">
        <v>24</v>
      </c>
      <c r="B17" s="454">
        <v>1.59</v>
      </c>
      <c r="C17" s="454">
        <v>1.44</v>
      </c>
      <c r="D17" s="454">
        <v>1.3</v>
      </c>
      <c r="E17" s="451">
        <v>0</v>
      </c>
      <c r="F17" s="463">
        <v>5477833.29</v>
      </c>
      <c r="G17" s="463">
        <v>-3088110.59</v>
      </c>
      <c r="H17" s="451">
        <v>1</v>
      </c>
      <c r="I17" s="455">
        <v>-441158.66</v>
      </c>
      <c r="J17" s="454">
        <v>12.42</v>
      </c>
      <c r="K17" s="454">
        <v>0</v>
      </c>
      <c r="L17" s="454">
        <v>1</v>
      </c>
      <c r="O17" s="464" t="s">
        <v>27</v>
      </c>
      <c r="P17" s="465">
        <v>1.19</v>
      </c>
      <c r="Q17" s="465">
        <v>1.06</v>
      </c>
      <c r="R17" s="465">
        <v>0.86</v>
      </c>
      <c r="S17" s="462">
        <v>1</v>
      </c>
      <c r="T17" s="466">
        <v>1690847.08</v>
      </c>
      <c r="U17" s="466">
        <v>1104542.8700000001</v>
      </c>
      <c r="V17" s="465">
        <v>0</v>
      </c>
      <c r="W17" s="467">
        <v>157791.84</v>
      </c>
      <c r="X17" s="465"/>
      <c r="Y17" s="465">
        <v>0</v>
      </c>
      <c r="Z17" s="465">
        <v>1</v>
      </c>
    </row>
    <row r="18" spans="1:26" ht="20.25" customHeight="1" x14ac:dyDescent="0.45">
      <c r="A18" s="453" t="s">
        <v>14</v>
      </c>
      <c r="B18" s="454">
        <v>1.1100000000000001</v>
      </c>
      <c r="C18" s="454">
        <v>1.03</v>
      </c>
      <c r="D18" s="454">
        <v>0.86</v>
      </c>
      <c r="E18" s="451">
        <v>1</v>
      </c>
      <c r="F18" s="463">
        <v>3289894.99</v>
      </c>
      <c r="G18" s="463">
        <v>3373278.37</v>
      </c>
      <c r="H18" s="451">
        <v>0</v>
      </c>
      <c r="I18" s="455">
        <v>481896.91</v>
      </c>
      <c r="J18" s="454"/>
      <c r="K18" s="454">
        <v>0</v>
      </c>
      <c r="L18" s="454">
        <v>1</v>
      </c>
      <c r="O18" s="464" t="s">
        <v>12</v>
      </c>
      <c r="P18" s="465">
        <v>3.7</v>
      </c>
      <c r="Q18" s="465">
        <v>3.57</v>
      </c>
      <c r="R18" s="465">
        <v>2.44</v>
      </c>
      <c r="S18" s="462">
        <v>0</v>
      </c>
      <c r="T18" s="466">
        <v>600320857.54999995</v>
      </c>
      <c r="U18" s="466">
        <v>131474433.78</v>
      </c>
      <c r="V18" s="465">
        <v>0</v>
      </c>
      <c r="W18" s="467">
        <v>18782061.969999999</v>
      </c>
      <c r="X18" s="465"/>
      <c r="Y18" s="465">
        <v>0</v>
      </c>
      <c r="Z18" s="465">
        <v>0</v>
      </c>
    </row>
    <row r="19" spans="1:26" ht="20.25" customHeight="1" x14ac:dyDescent="0.45">
      <c r="A19" s="453" t="s">
        <v>12</v>
      </c>
      <c r="B19" s="454">
        <v>3.7</v>
      </c>
      <c r="C19" s="454">
        <v>3.57</v>
      </c>
      <c r="D19" s="454">
        <v>2.44</v>
      </c>
      <c r="E19" s="451">
        <v>0</v>
      </c>
      <c r="F19" s="463">
        <v>600320857.54999995</v>
      </c>
      <c r="G19" s="463">
        <v>94215462.069999993</v>
      </c>
      <c r="H19" s="451">
        <v>0</v>
      </c>
      <c r="I19" s="455">
        <v>13459351.720000001</v>
      </c>
      <c r="J19" s="454"/>
      <c r="K19" s="454">
        <v>0</v>
      </c>
      <c r="L19" s="454">
        <v>0</v>
      </c>
      <c r="O19" s="464" t="s">
        <v>13</v>
      </c>
      <c r="P19" s="465">
        <v>1.63</v>
      </c>
      <c r="Q19" s="465">
        <v>1.38</v>
      </c>
      <c r="R19" s="465">
        <v>0.84</v>
      </c>
      <c r="S19" s="462">
        <v>0</v>
      </c>
      <c r="T19" s="466">
        <v>58011671.82</v>
      </c>
      <c r="U19" s="466">
        <v>28927625.190000001</v>
      </c>
      <c r="V19" s="465">
        <v>0</v>
      </c>
      <c r="W19" s="467">
        <v>4132517.88</v>
      </c>
      <c r="X19" s="465"/>
      <c r="Y19" s="465">
        <v>0</v>
      </c>
      <c r="Z19" s="465">
        <v>0</v>
      </c>
    </row>
    <row r="20" spans="1:26" ht="20.25" customHeight="1" x14ac:dyDescent="0.45">
      <c r="A20" s="453" t="s">
        <v>13</v>
      </c>
      <c r="B20" s="454">
        <v>1.63</v>
      </c>
      <c r="C20" s="454">
        <v>1.38</v>
      </c>
      <c r="D20" s="454">
        <v>0.84</v>
      </c>
      <c r="E20" s="451">
        <v>0</v>
      </c>
      <c r="F20" s="463">
        <v>58011671.82</v>
      </c>
      <c r="G20" s="463">
        <v>12857886.42</v>
      </c>
      <c r="H20" s="451">
        <v>0</v>
      </c>
      <c r="I20" s="455">
        <v>1836840.92</v>
      </c>
      <c r="J20" s="454"/>
      <c r="K20" s="454">
        <v>0</v>
      </c>
      <c r="L20" s="454">
        <v>0</v>
      </c>
      <c r="O20" s="464" t="s">
        <v>18</v>
      </c>
      <c r="P20" s="465">
        <v>2.04</v>
      </c>
      <c r="Q20" s="465">
        <v>1.9</v>
      </c>
      <c r="R20" s="465">
        <v>1.55</v>
      </c>
      <c r="S20" s="462">
        <v>0</v>
      </c>
      <c r="T20" s="466">
        <v>42348011.560000002</v>
      </c>
      <c r="U20" s="466">
        <v>11959486.029999999</v>
      </c>
      <c r="V20" s="465">
        <v>0</v>
      </c>
      <c r="W20" s="467">
        <v>1708498</v>
      </c>
      <c r="X20" s="465"/>
      <c r="Y20" s="465">
        <v>0</v>
      </c>
      <c r="Z20" s="465">
        <v>0</v>
      </c>
    </row>
    <row r="21" spans="1:26" ht="20.25" customHeight="1" x14ac:dyDescent="0.45">
      <c r="A21" s="469"/>
      <c r="B21" s="469"/>
      <c r="C21" s="469"/>
      <c r="D21" s="469"/>
      <c r="E21" s="469"/>
      <c r="F21" s="470">
        <f>SUM(F6:F20)</f>
        <v>732184989.45000005</v>
      </c>
      <c r="G21" s="470">
        <f>SUM(G6:G20)</f>
        <v>112508651.50999999</v>
      </c>
      <c r="H21" s="469"/>
      <c r="I21" s="469"/>
      <c r="J21" s="471"/>
      <c r="K21" s="471"/>
      <c r="L21" s="471"/>
      <c r="O21" s="464" t="s">
        <v>23</v>
      </c>
      <c r="P21" s="465">
        <v>1.97</v>
      </c>
      <c r="Q21" s="465">
        <v>1.63</v>
      </c>
      <c r="R21" s="465">
        <v>1.46</v>
      </c>
      <c r="S21" s="462">
        <v>0</v>
      </c>
      <c r="T21" s="466">
        <v>41714549.789999999</v>
      </c>
      <c r="U21" s="466">
        <v>4772912.59</v>
      </c>
      <c r="V21" s="465">
        <v>0</v>
      </c>
      <c r="W21" s="467">
        <v>681844.66</v>
      </c>
      <c r="X21" s="465"/>
      <c r="Y21" s="465">
        <v>0</v>
      </c>
      <c r="Z21" s="465">
        <v>0</v>
      </c>
    </row>
    <row r="22" spans="1:26" ht="24.75" customHeight="1" x14ac:dyDescent="0.45">
      <c r="F22" s="472"/>
      <c r="J22" s="473"/>
      <c r="K22" s="473"/>
      <c r="L22" s="473"/>
      <c r="O22" s="464"/>
      <c r="P22" s="465"/>
      <c r="Q22" s="465"/>
      <c r="R22" s="465"/>
      <c r="S22" s="462"/>
      <c r="T22" s="466"/>
      <c r="U22" s="466"/>
      <c r="V22" s="465"/>
      <c r="W22" s="467"/>
      <c r="X22" s="465"/>
      <c r="Y22" s="465"/>
      <c r="Z22" s="465"/>
    </row>
    <row r="23" spans="1:26" ht="24.75" customHeight="1" x14ac:dyDescent="0.45">
      <c r="F23" s="472"/>
      <c r="J23" s="473"/>
      <c r="K23" s="473"/>
      <c r="L23" s="473"/>
      <c r="O23" s="464"/>
      <c r="P23" s="465"/>
      <c r="Q23" s="465"/>
      <c r="R23" s="465"/>
      <c r="S23" s="462"/>
      <c r="T23" s="466"/>
      <c r="U23" s="466"/>
      <c r="V23" s="465"/>
      <c r="W23" s="467"/>
      <c r="X23" s="465"/>
      <c r="Y23" s="465"/>
      <c r="Z23" s="465"/>
    </row>
    <row r="24" spans="1:26" ht="24.75" customHeight="1" x14ac:dyDescent="0.45">
      <c r="F24" s="472"/>
      <c r="J24" s="473"/>
      <c r="K24" s="473"/>
      <c r="L24" s="473"/>
      <c r="O24" s="464"/>
      <c r="P24" s="465"/>
      <c r="Q24" s="465"/>
      <c r="R24" s="465"/>
      <c r="S24" s="462"/>
      <c r="T24" s="466"/>
      <c r="U24" s="466"/>
      <c r="V24" s="465"/>
      <c r="W24" s="467"/>
      <c r="X24" s="465"/>
      <c r="Y24" s="465"/>
      <c r="Z24" s="465"/>
    </row>
    <row r="25" spans="1:26" ht="24.75" customHeight="1" x14ac:dyDescent="0.45">
      <c r="F25" s="472"/>
      <c r="J25" s="473"/>
      <c r="K25" s="473"/>
      <c r="L25" s="473"/>
      <c r="O25" s="464"/>
      <c r="P25" s="465"/>
      <c r="Q25" s="465"/>
      <c r="R25" s="465"/>
      <c r="S25" s="462"/>
      <c r="T25" s="466"/>
      <c r="U25" s="466"/>
      <c r="V25" s="465"/>
      <c r="W25" s="467"/>
      <c r="X25" s="465"/>
      <c r="Y25" s="465"/>
      <c r="Z25" s="465"/>
    </row>
    <row r="26" spans="1:26" ht="24.75" customHeight="1" x14ac:dyDescent="0.45">
      <c r="F26" s="472"/>
      <c r="J26" s="473"/>
      <c r="K26" s="473"/>
      <c r="L26" s="473"/>
      <c r="O26" s="464"/>
      <c r="P26" s="465"/>
      <c r="Q26" s="465"/>
      <c r="R26" s="465"/>
      <c r="S26" s="462"/>
      <c r="T26" s="466"/>
      <c r="U26" s="466"/>
      <c r="V26" s="465"/>
      <c r="W26" s="467"/>
      <c r="X26" s="465"/>
      <c r="Y26" s="465"/>
      <c r="Z26" s="465"/>
    </row>
    <row r="27" spans="1:26" ht="24.75" customHeight="1" x14ac:dyDescent="0.45">
      <c r="F27" s="472"/>
      <c r="J27" s="473"/>
      <c r="K27" s="473"/>
      <c r="L27" s="473"/>
      <c r="O27" s="464"/>
      <c r="P27" s="465"/>
      <c r="Q27" s="465"/>
      <c r="R27" s="465"/>
      <c r="S27" s="462"/>
      <c r="T27" s="466"/>
      <c r="U27" s="466"/>
      <c r="V27" s="465"/>
      <c r="W27" s="467"/>
      <c r="X27" s="465"/>
      <c r="Y27" s="465"/>
      <c r="Z27" s="465"/>
    </row>
    <row r="28" spans="1:26" ht="24.75" customHeight="1" x14ac:dyDescent="0.45">
      <c r="F28" s="472"/>
      <c r="J28" s="473"/>
      <c r="K28" s="473"/>
      <c r="L28" s="473"/>
      <c r="O28" s="464"/>
      <c r="P28" s="465"/>
      <c r="Q28" s="465"/>
      <c r="R28" s="465"/>
      <c r="S28" s="462"/>
      <c r="T28" s="466"/>
      <c r="U28" s="466"/>
      <c r="V28" s="465"/>
      <c r="W28" s="467"/>
      <c r="X28" s="465"/>
      <c r="Y28" s="465"/>
      <c r="Z28" s="465"/>
    </row>
    <row r="29" spans="1:26" ht="24.75" customHeight="1" x14ac:dyDescent="0.45">
      <c r="F29" s="472"/>
      <c r="J29" s="473"/>
      <c r="K29" s="473"/>
      <c r="L29" s="473"/>
      <c r="O29" s="464"/>
      <c r="P29" s="465"/>
      <c r="Q29" s="465"/>
      <c r="R29" s="465"/>
      <c r="S29" s="462"/>
      <c r="T29" s="466"/>
      <c r="U29" s="466"/>
      <c r="V29" s="465"/>
      <c r="W29" s="467"/>
      <c r="X29" s="465"/>
      <c r="Y29" s="465"/>
      <c r="Z29" s="465"/>
    </row>
    <row r="30" spans="1:26" ht="24.75" customHeight="1" x14ac:dyDescent="0.45">
      <c r="F30" s="472"/>
      <c r="J30" s="473"/>
      <c r="K30" s="473"/>
      <c r="L30" s="473"/>
      <c r="O30" s="464"/>
      <c r="P30" s="465"/>
      <c r="Q30" s="465"/>
      <c r="R30" s="465"/>
      <c r="S30" s="462"/>
      <c r="T30" s="466"/>
      <c r="U30" s="466"/>
      <c r="V30" s="465"/>
      <c r="W30" s="467"/>
      <c r="X30" s="465"/>
      <c r="Y30" s="465"/>
      <c r="Z30" s="465"/>
    </row>
    <row r="31" spans="1:26" ht="24.75" customHeight="1" x14ac:dyDescent="0.45">
      <c r="F31" s="472"/>
      <c r="J31" s="473"/>
      <c r="K31" s="473"/>
      <c r="L31" s="473"/>
      <c r="O31" s="464"/>
      <c r="P31" s="465"/>
      <c r="Q31" s="465"/>
      <c r="R31" s="465"/>
      <c r="S31" s="462"/>
      <c r="T31" s="466"/>
      <c r="U31" s="466"/>
      <c r="V31" s="465"/>
      <c r="W31" s="467"/>
      <c r="X31" s="465"/>
      <c r="Y31" s="465"/>
      <c r="Z31" s="465"/>
    </row>
    <row r="32" spans="1:26" ht="24.75" customHeight="1" x14ac:dyDescent="0.45">
      <c r="F32" s="472"/>
      <c r="J32" s="473"/>
      <c r="K32" s="473"/>
      <c r="L32" s="473"/>
      <c r="O32" s="464"/>
      <c r="P32" s="465"/>
      <c r="Q32" s="465"/>
      <c r="R32" s="465"/>
      <c r="S32" s="462"/>
      <c r="T32" s="466"/>
      <c r="U32" s="466"/>
      <c r="V32" s="465"/>
      <c r="W32" s="467"/>
      <c r="X32" s="465"/>
      <c r="Y32" s="465"/>
      <c r="Z32" s="465"/>
    </row>
    <row r="33" spans="1:26" ht="24.75" customHeight="1" x14ac:dyDescent="0.45">
      <c r="F33" s="472"/>
      <c r="J33" s="473"/>
      <c r="K33" s="473"/>
      <c r="L33" s="473"/>
      <c r="O33" s="464"/>
      <c r="P33" s="465"/>
      <c r="Q33" s="465"/>
      <c r="R33" s="465"/>
      <c r="S33" s="462"/>
      <c r="T33" s="466"/>
      <c r="U33" s="466"/>
      <c r="V33" s="465"/>
      <c r="W33" s="467"/>
      <c r="X33" s="465"/>
      <c r="Y33" s="465"/>
      <c r="Z33" s="465"/>
    </row>
    <row r="34" spans="1:26" ht="22.5" customHeight="1" x14ac:dyDescent="0.45">
      <c r="A34" s="474"/>
      <c r="B34" s="475"/>
      <c r="C34" s="475"/>
      <c r="D34" s="475"/>
      <c r="E34" s="475"/>
      <c r="F34" s="475"/>
      <c r="G34" s="475"/>
      <c r="H34" s="475"/>
      <c r="I34" s="476" t="s">
        <v>28</v>
      </c>
      <c r="J34" s="477"/>
      <c r="K34" s="477"/>
      <c r="L34" s="477"/>
    </row>
    <row r="35" spans="1:26" x14ac:dyDescent="0.45">
      <c r="A35" s="478" t="s">
        <v>29</v>
      </c>
      <c r="B35" s="475"/>
      <c r="C35" s="475"/>
      <c r="D35" s="475"/>
      <c r="E35" s="475"/>
      <c r="F35" s="475"/>
      <c r="G35" s="475"/>
      <c r="H35" s="475"/>
      <c r="I35" s="479" t="s">
        <v>30</v>
      </c>
      <c r="J35" s="714" t="s">
        <v>31</v>
      </c>
      <c r="K35" s="714"/>
      <c r="L35" s="714"/>
    </row>
    <row r="36" spans="1:26" x14ac:dyDescent="0.45">
      <c r="A36" s="478"/>
      <c r="B36" s="475"/>
      <c r="C36" s="475"/>
      <c r="D36" s="475"/>
      <c r="E36" s="475"/>
      <c r="F36" s="475"/>
      <c r="G36" s="475"/>
      <c r="H36" s="475"/>
      <c r="I36" s="479" t="s">
        <v>33</v>
      </c>
      <c r="J36" s="714"/>
      <c r="K36" s="714"/>
      <c r="L36" s="714"/>
    </row>
    <row r="37" spans="1:26" ht="26.25" customHeight="1" x14ac:dyDescent="0.45">
      <c r="A37" s="480" t="s">
        <v>35</v>
      </c>
      <c r="B37" s="475"/>
      <c r="C37" s="475"/>
      <c r="D37" s="475"/>
      <c r="E37" s="475"/>
      <c r="F37" s="475"/>
      <c r="G37" s="475"/>
      <c r="H37" s="475"/>
      <c r="I37" s="481" t="s">
        <v>70</v>
      </c>
      <c r="J37" s="714" t="s">
        <v>31</v>
      </c>
      <c r="K37" s="714"/>
      <c r="L37" s="714"/>
    </row>
    <row r="38" spans="1:26" x14ac:dyDescent="0.45">
      <c r="A38" s="478"/>
      <c r="B38" s="475"/>
      <c r="C38" s="475"/>
      <c r="D38" s="475"/>
      <c r="E38" s="475"/>
      <c r="F38" s="475"/>
      <c r="G38" s="475"/>
      <c r="H38" s="475"/>
      <c r="I38" s="479" t="s">
        <v>33</v>
      </c>
      <c r="J38" s="714"/>
      <c r="K38" s="714"/>
      <c r="L38" s="714"/>
    </row>
    <row r="39" spans="1:26" x14ac:dyDescent="0.45">
      <c r="A39" s="478" t="s">
        <v>38</v>
      </c>
      <c r="B39" s="475"/>
      <c r="C39" s="475"/>
      <c r="D39" s="475"/>
      <c r="E39" s="475"/>
      <c r="F39" s="475"/>
      <c r="G39" s="479" t="s">
        <v>39</v>
      </c>
      <c r="H39" s="479"/>
      <c r="I39" s="714" t="s">
        <v>31</v>
      </c>
      <c r="J39" s="714"/>
      <c r="K39" s="476"/>
      <c r="L39" s="476"/>
    </row>
    <row r="40" spans="1:26" x14ac:dyDescent="0.45">
      <c r="A40" s="482" t="s">
        <v>41</v>
      </c>
      <c r="B40" s="475"/>
      <c r="C40" s="475"/>
      <c r="D40" s="475"/>
      <c r="E40" s="475"/>
      <c r="F40" s="475"/>
      <c r="G40" s="483" t="s">
        <v>71</v>
      </c>
      <c r="H40" s="483"/>
      <c r="I40" s="481"/>
      <c r="J40" s="484"/>
      <c r="K40" s="484"/>
      <c r="L40" s="484"/>
    </row>
    <row r="41" spans="1:26" ht="11.25" customHeight="1" x14ac:dyDescent="0.45">
      <c r="G41" s="475"/>
      <c r="H41" s="475"/>
      <c r="I41" s="485"/>
      <c r="J41" s="486"/>
      <c r="K41" s="486"/>
      <c r="L41" s="486"/>
    </row>
    <row r="42" spans="1:26" ht="23.25" customHeight="1" x14ac:dyDescent="0.45">
      <c r="A42" s="485"/>
      <c r="B42" s="475"/>
      <c r="C42" s="475"/>
      <c r="D42" s="475"/>
      <c r="E42" s="475"/>
      <c r="F42" s="475"/>
      <c r="G42" s="475"/>
      <c r="H42" s="475"/>
      <c r="I42" s="479" t="s">
        <v>72</v>
      </c>
      <c r="J42" s="714" t="s">
        <v>31</v>
      </c>
      <c r="K42" s="714"/>
      <c r="L42" s="714"/>
    </row>
    <row r="43" spans="1:26" ht="21.75" customHeight="1" x14ac:dyDescent="0.45">
      <c r="A43" s="485"/>
      <c r="B43" s="475"/>
      <c r="C43" s="475"/>
      <c r="D43" s="475"/>
      <c r="E43" s="475"/>
      <c r="F43" s="475"/>
      <c r="G43" s="475"/>
      <c r="H43" s="475"/>
      <c r="I43" s="479" t="s">
        <v>33</v>
      </c>
      <c r="J43" s="714"/>
      <c r="K43" s="714"/>
      <c r="L43" s="714"/>
    </row>
    <row r="44" spans="1:26" x14ac:dyDescent="0.45">
      <c r="A44" s="478" t="s">
        <v>83</v>
      </c>
      <c r="B44" s="475"/>
      <c r="C44" s="475"/>
      <c r="D44" s="475"/>
      <c r="E44" s="475"/>
      <c r="F44" s="475"/>
      <c r="G44" s="475"/>
      <c r="H44" s="475"/>
      <c r="I44" s="485"/>
      <c r="J44" s="486"/>
      <c r="K44" s="486"/>
      <c r="L44" s="486"/>
    </row>
    <row r="45" spans="1:26" x14ac:dyDescent="0.45">
      <c r="A45" s="478" t="s">
        <v>46</v>
      </c>
      <c r="B45" s="475"/>
      <c r="C45" s="475"/>
      <c r="D45" s="475"/>
      <c r="E45" s="475"/>
      <c r="F45" s="475"/>
      <c r="G45" s="475"/>
      <c r="H45" s="475"/>
      <c r="I45" s="485"/>
      <c r="J45" s="486"/>
      <c r="K45" s="486"/>
      <c r="L45" s="486"/>
    </row>
    <row r="46" spans="1:26" x14ac:dyDescent="0.45">
      <c r="A46" s="478" t="s">
        <v>197</v>
      </c>
      <c r="B46" s="475"/>
      <c r="C46" s="475"/>
      <c r="D46" s="475"/>
      <c r="E46" s="475"/>
      <c r="F46" s="475"/>
      <c r="G46" s="475"/>
      <c r="H46" s="475"/>
      <c r="I46" s="485"/>
      <c r="J46" s="486"/>
      <c r="K46" s="486"/>
      <c r="L46" s="486"/>
    </row>
    <row r="47" spans="1:26" x14ac:dyDescent="0.45">
      <c r="A47" s="478" t="s">
        <v>198</v>
      </c>
      <c r="B47" s="475"/>
      <c r="C47" s="475"/>
      <c r="D47" s="475"/>
      <c r="E47" s="475"/>
      <c r="F47" s="475"/>
      <c r="G47" s="475"/>
      <c r="H47" s="475"/>
      <c r="I47" s="485"/>
      <c r="J47" s="486"/>
      <c r="K47" s="486"/>
      <c r="L47" s="486"/>
    </row>
    <row r="48" spans="1:26" x14ac:dyDescent="0.45">
      <c r="A48" s="478" t="s">
        <v>199</v>
      </c>
      <c r="B48" s="475"/>
      <c r="C48" s="478"/>
      <c r="D48" s="475"/>
      <c r="E48" s="475"/>
      <c r="F48" s="475"/>
      <c r="G48" s="475"/>
      <c r="H48" s="475"/>
      <c r="I48" s="485"/>
      <c r="J48" s="486"/>
      <c r="K48" s="486"/>
      <c r="L48" s="486"/>
    </row>
    <row r="49" spans="1:12" x14ac:dyDescent="0.45">
      <c r="A49" s="485"/>
      <c r="B49" s="475"/>
      <c r="C49" s="478" t="s">
        <v>50</v>
      </c>
      <c r="D49" s="475"/>
      <c r="E49" s="475"/>
      <c r="F49" s="475"/>
      <c r="G49" s="475"/>
      <c r="H49" s="475"/>
      <c r="I49" s="485"/>
      <c r="J49" s="486"/>
      <c r="K49" s="486"/>
      <c r="L49" s="486"/>
    </row>
    <row r="50" spans="1:12" x14ac:dyDescent="0.45">
      <c r="A50" s="485"/>
      <c r="B50" s="475"/>
      <c r="C50" s="478" t="s">
        <v>51</v>
      </c>
      <c r="D50" s="475"/>
      <c r="E50" s="475"/>
      <c r="F50" s="475"/>
      <c r="G50" s="475"/>
      <c r="H50" s="475"/>
      <c r="I50" s="485"/>
      <c r="J50" s="486"/>
      <c r="K50" s="486"/>
      <c r="L50" s="486"/>
    </row>
    <row r="51" spans="1:12" x14ac:dyDescent="0.45">
      <c r="A51" s="485"/>
      <c r="B51" s="475"/>
      <c r="C51" s="478" t="s">
        <v>52</v>
      </c>
      <c r="D51" s="475"/>
      <c r="E51" s="475"/>
      <c r="F51" s="475"/>
      <c r="G51" s="475"/>
      <c r="H51" s="475"/>
      <c r="I51" s="485"/>
      <c r="J51" s="486"/>
      <c r="K51" s="486"/>
      <c r="L51" s="486"/>
    </row>
    <row r="52" spans="1:12" x14ac:dyDescent="0.45">
      <c r="A52" s="461" t="s">
        <v>53</v>
      </c>
      <c r="B52" s="475"/>
      <c r="C52" s="475"/>
      <c r="D52" s="475"/>
      <c r="E52" s="475"/>
      <c r="F52" s="475"/>
      <c r="G52" s="475"/>
      <c r="H52" s="475"/>
      <c r="I52" s="485"/>
      <c r="J52" s="486"/>
      <c r="K52" s="486"/>
      <c r="L52" s="486"/>
    </row>
    <row r="53" spans="1:12" x14ac:dyDescent="0.45">
      <c r="A53" s="478" t="s">
        <v>84</v>
      </c>
      <c r="B53" s="475"/>
      <c r="C53" s="475"/>
      <c r="D53" s="475"/>
      <c r="E53" s="475"/>
      <c r="F53" s="475"/>
      <c r="G53" s="475"/>
      <c r="H53" s="475"/>
      <c r="I53" s="485"/>
      <c r="J53" s="486"/>
      <c r="K53" s="486"/>
      <c r="L53" s="486"/>
    </row>
    <row r="54" spans="1:12" x14ac:dyDescent="0.45">
      <c r="A54" s="711" t="s">
        <v>171</v>
      </c>
      <c r="B54" s="711"/>
      <c r="C54" s="711"/>
      <c r="D54" s="475"/>
      <c r="E54" s="475"/>
      <c r="F54" s="475"/>
      <c r="G54" s="475"/>
      <c r="H54" s="475"/>
      <c r="I54" s="475"/>
      <c r="J54" s="477"/>
      <c r="K54" s="477"/>
      <c r="L54" s="477"/>
    </row>
    <row r="55" spans="1:12" x14ac:dyDescent="0.45">
      <c r="A55" s="461" t="s">
        <v>69</v>
      </c>
    </row>
    <row r="58" spans="1:12" x14ac:dyDescent="0.45">
      <c r="A58" s="474"/>
      <c r="B58" s="487"/>
      <c r="C58" s="487"/>
      <c r="D58" s="487"/>
      <c r="E58" s="487"/>
      <c r="F58" s="475"/>
      <c r="G58" s="475"/>
      <c r="H58" s="475"/>
      <c r="I58" s="475"/>
      <c r="J58" s="488"/>
      <c r="K58" s="488"/>
      <c r="L58" s="488"/>
    </row>
  </sheetData>
  <mergeCells count="31">
    <mergeCell ref="W2:Y2"/>
    <mergeCell ref="W3:Y3"/>
    <mergeCell ref="P3:S3"/>
    <mergeCell ref="S4:S5"/>
    <mergeCell ref="V4:V5"/>
    <mergeCell ref="U4:U5"/>
    <mergeCell ref="W4:W5"/>
    <mergeCell ref="A1:N1"/>
    <mergeCell ref="J4:J5"/>
    <mergeCell ref="K4:K5"/>
    <mergeCell ref="P2:S2"/>
    <mergeCell ref="I4:I5"/>
    <mergeCell ref="F3:H3"/>
    <mergeCell ref="I3:K3"/>
    <mergeCell ref="L2:L5"/>
    <mergeCell ref="F2:H2"/>
    <mergeCell ref="O1:AB1"/>
    <mergeCell ref="I2:K2"/>
    <mergeCell ref="Y4:Y5"/>
    <mergeCell ref="Z2:Z5"/>
    <mergeCell ref="O2:O5"/>
    <mergeCell ref="T2:V2"/>
    <mergeCell ref="T3:V3"/>
    <mergeCell ref="A54:C54"/>
    <mergeCell ref="A2:A5"/>
    <mergeCell ref="B2:E2"/>
    <mergeCell ref="B3:E3"/>
    <mergeCell ref="J35:L36"/>
    <mergeCell ref="J37:L38"/>
    <mergeCell ref="J42:L43"/>
    <mergeCell ref="I39:J39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98" zoomScaleNormal="98" workbookViewId="0">
      <selection activeCell="F9" sqref="F9"/>
    </sheetView>
  </sheetViews>
  <sheetFormatPr defaultRowHeight="51.75" customHeight="1" x14ac:dyDescent="0.5"/>
  <cols>
    <col min="1" max="1" width="15" style="194" customWidth="1"/>
    <col min="2" max="2" width="9.125" style="194" customWidth="1"/>
    <col min="3" max="3" width="8.125" style="194" customWidth="1"/>
    <col min="4" max="4" width="8.25" style="194" customWidth="1"/>
    <col min="5" max="5" width="9.375" style="194" customWidth="1"/>
    <col min="6" max="6" width="16.5" style="194" customWidth="1"/>
    <col min="7" max="7" width="16.625" style="194" customWidth="1"/>
    <col min="8" max="8" width="6.75" style="194" customWidth="1"/>
    <col min="9" max="9" width="14.875" style="194" customWidth="1"/>
    <col min="10" max="10" width="11" style="194" customWidth="1"/>
    <col min="11" max="11" width="1.875" style="194" hidden="1" customWidth="1"/>
    <col min="12" max="12" width="9.125" style="194" customWidth="1"/>
    <col min="13" max="13" width="8.125" style="194" customWidth="1"/>
    <col min="14" max="14" width="11.625" style="194" customWidth="1"/>
    <col min="15" max="15" width="14.75" style="194" customWidth="1"/>
    <col min="16" max="17" width="9" style="194" customWidth="1"/>
    <col min="18" max="18" width="6.75" style="194" customWidth="1"/>
    <col min="19" max="16384" width="9" style="194"/>
  </cols>
  <sheetData>
    <row r="1" spans="1:15" ht="51.75" customHeight="1" x14ac:dyDescent="0.5">
      <c r="A1" s="726" t="s">
        <v>196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spans="1:15" ht="42" customHeight="1" x14ac:dyDescent="0.5">
      <c r="A2" s="713" t="s">
        <v>1</v>
      </c>
      <c r="B2" s="713" t="s">
        <v>161</v>
      </c>
      <c r="C2" s="713"/>
      <c r="D2" s="713"/>
      <c r="E2" s="713"/>
      <c r="F2" s="713" t="s">
        <v>162</v>
      </c>
      <c r="G2" s="713"/>
      <c r="H2" s="713"/>
      <c r="I2" s="713" t="s">
        <v>163</v>
      </c>
      <c r="J2" s="713"/>
      <c r="K2" s="713"/>
      <c r="L2" s="713"/>
      <c r="M2" s="713" t="s">
        <v>183</v>
      </c>
      <c r="N2" s="713" t="s">
        <v>183</v>
      </c>
    </row>
    <row r="3" spans="1:15" ht="39.75" customHeight="1" x14ac:dyDescent="0.5">
      <c r="A3" s="713"/>
      <c r="B3" s="451" t="s">
        <v>119</v>
      </c>
      <c r="C3" s="451" t="s">
        <v>120</v>
      </c>
      <c r="D3" s="451" t="s">
        <v>121</v>
      </c>
      <c r="E3" s="720" t="s">
        <v>166</v>
      </c>
      <c r="F3" s="451" t="s">
        <v>122</v>
      </c>
      <c r="G3" s="451" t="s">
        <v>184</v>
      </c>
      <c r="H3" s="720" t="s">
        <v>166</v>
      </c>
      <c r="I3" s="713" t="s">
        <v>173</v>
      </c>
      <c r="J3" s="713" t="s">
        <v>170</v>
      </c>
      <c r="K3" s="713"/>
      <c r="L3" s="720" t="s">
        <v>166</v>
      </c>
      <c r="M3" s="713"/>
      <c r="N3" s="713"/>
    </row>
    <row r="4" spans="1:15" ht="58.5" customHeight="1" x14ac:dyDescent="0.5">
      <c r="A4" s="713"/>
      <c r="B4" s="451" t="s">
        <v>174</v>
      </c>
      <c r="C4" s="451" t="s">
        <v>175</v>
      </c>
      <c r="D4" s="451" t="s">
        <v>176</v>
      </c>
      <c r="E4" s="720"/>
      <c r="F4" s="451" t="s">
        <v>178</v>
      </c>
      <c r="G4" s="451" t="s">
        <v>125</v>
      </c>
      <c r="H4" s="720"/>
      <c r="I4" s="713"/>
      <c r="J4" s="713"/>
      <c r="K4" s="713"/>
      <c r="L4" s="720"/>
      <c r="M4" s="713"/>
      <c r="N4" s="451"/>
      <c r="O4" s="194">
        <v>1000000</v>
      </c>
    </row>
    <row r="5" spans="1:15" ht="21" customHeight="1" x14ac:dyDescent="0.5">
      <c r="A5" s="453" t="s">
        <v>25</v>
      </c>
      <c r="B5" s="454">
        <v>1.01</v>
      </c>
      <c r="C5" s="454">
        <v>0.91</v>
      </c>
      <c r="D5" s="454">
        <v>0.55000000000000004</v>
      </c>
      <c r="E5" s="451">
        <v>3</v>
      </c>
      <c r="F5" s="455">
        <v>154684.17000000001</v>
      </c>
      <c r="G5" s="455">
        <v>-2752232.57</v>
      </c>
      <c r="H5" s="451">
        <v>1</v>
      </c>
      <c r="I5" s="455">
        <v>-344029.07</v>
      </c>
      <c r="J5" s="725">
        <v>0.45</v>
      </c>
      <c r="K5" s="725"/>
      <c r="L5" s="454">
        <v>2</v>
      </c>
      <c r="M5" s="454">
        <v>6</v>
      </c>
      <c r="N5" s="454">
        <v>6</v>
      </c>
      <c r="O5" s="440">
        <f>F5/$O$4</f>
        <v>0.15468417000000001</v>
      </c>
    </row>
    <row r="6" spans="1:15" ht="21" customHeight="1" x14ac:dyDescent="0.5">
      <c r="A6" s="453" t="s">
        <v>13</v>
      </c>
      <c r="B6" s="454">
        <v>1.1499999999999999</v>
      </c>
      <c r="C6" s="454">
        <v>0.94</v>
      </c>
      <c r="D6" s="454">
        <v>0.61</v>
      </c>
      <c r="E6" s="451">
        <v>3</v>
      </c>
      <c r="F6" s="455">
        <v>15821294.529999999</v>
      </c>
      <c r="G6" s="455">
        <v>-17933299.41</v>
      </c>
      <c r="H6" s="451">
        <v>1</v>
      </c>
      <c r="I6" s="455">
        <v>-2241662.4300000002</v>
      </c>
      <c r="J6" s="725">
        <v>7.06</v>
      </c>
      <c r="K6" s="725"/>
      <c r="L6" s="454">
        <v>0</v>
      </c>
      <c r="M6" s="454">
        <v>4</v>
      </c>
      <c r="N6" s="454">
        <v>4</v>
      </c>
      <c r="O6" s="440">
        <f t="shared" ref="O6:O21" si="0">F6/$O$4</f>
        <v>15.821294529999999</v>
      </c>
    </row>
    <row r="7" spans="1:15" ht="21" customHeight="1" x14ac:dyDescent="0.5">
      <c r="A7" s="453" t="s">
        <v>19</v>
      </c>
      <c r="B7" s="454">
        <v>0.87</v>
      </c>
      <c r="C7" s="454">
        <v>0.75</v>
      </c>
      <c r="D7" s="454">
        <v>0.59</v>
      </c>
      <c r="E7" s="451">
        <v>3</v>
      </c>
      <c r="F7" s="455">
        <v>-3558672.52</v>
      </c>
      <c r="G7" s="455">
        <v>5262445.75</v>
      </c>
      <c r="H7" s="451">
        <v>1</v>
      </c>
      <c r="I7" s="455">
        <v>657805.72</v>
      </c>
      <c r="J7" s="725"/>
      <c r="K7" s="725"/>
      <c r="L7" s="454">
        <v>0</v>
      </c>
      <c r="M7" s="454">
        <v>4</v>
      </c>
      <c r="N7" s="454">
        <v>4</v>
      </c>
      <c r="O7" s="440">
        <f t="shared" si="0"/>
        <v>-3.55867252</v>
      </c>
    </row>
    <row r="8" spans="1:15" ht="21" customHeight="1" x14ac:dyDescent="0.5">
      <c r="A8" s="453" t="s">
        <v>22</v>
      </c>
      <c r="B8" s="454">
        <v>1.1000000000000001</v>
      </c>
      <c r="C8" s="454">
        <v>0.94</v>
      </c>
      <c r="D8" s="454">
        <v>0.77</v>
      </c>
      <c r="E8" s="451">
        <v>3</v>
      </c>
      <c r="F8" s="455">
        <v>1798873.64</v>
      </c>
      <c r="G8" s="455">
        <v>4287360.6900000004</v>
      </c>
      <c r="H8" s="451">
        <v>0</v>
      </c>
      <c r="I8" s="455">
        <v>535920.09</v>
      </c>
      <c r="J8" s="725"/>
      <c r="K8" s="725"/>
      <c r="L8" s="454">
        <v>0</v>
      </c>
      <c r="M8" s="454">
        <v>3</v>
      </c>
      <c r="N8" s="454">
        <v>3</v>
      </c>
      <c r="O8" s="440">
        <f t="shared" si="0"/>
        <v>1.7988736399999998</v>
      </c>
    </row>
    <row r="9" spans="1:15" ht="21" customHeight="1" x14ac:dyDescent="0.5">
      <c r="A9" s="453" t="s">
        <v>15</v>
      </c>
      <c r="B9" s="454">
        <v>1.32</v>
      </c>
      <c r="C9" s="454">
        <v>1.18</v>
      </c>
      <c r="D9" s="454">
        <v>0.95</v>
      </c>
      <c r="E9" s="451">
        <v>1</v>
      </c>
      <c r="F9" s="455">
        <v>6582843.7000000002</v>
      </c>
      <c r="G9" s="455">
        <v>-4976853.5</v>
      </c>
      <c r="H9" s="451">
        <v>1</v>
      </c>
      <c r="I9" s="455">
        <v>-622106.68999999994</v>
      </c>
      <c r="J9" s="725">
        <v>10.58</v>
      </c>
      <c r="K9" s="725"/>
      <c r="L9" s="454">
        <v>0</v>
      </c>
      <c r="M9" s="454">
        <v>2</v>
      </c>
      <c r="N9" s="454">
        <v>2</v>
      </c>
      <c r="O9" s="440">
        <f t="shared" si="0"/>
        <v>6.5828436999999997</v>
      </c>
    </row>
    <row r="10" spans="1:15" ht="21" customHeight="1" x14ac:dyDescent="0.5">
      <c r="A10" s="456" t="s">
        <v>17</v>
      </c>
      <c r="B10" s="451">
        <v>1.1399999999999999</v>
      </c>
      <c r="C10" s="451">
        <v>0.98</v>
      </c>
      <c r="D10" s="451">
        <v>0.89</v>
      </c>
      <c r="E10" s="451">
        <v>2</v>
      </c>
      <c r="F10" s="457">
        <v>2582449.1800000002</v>
      </c>
      <c r="G10" s="457">
        <v>3247601.07</v>
      </c>
      <c r="H10" s="451">
        <v>0</v>
      </c>
      <c r="I10" s="457">
        <v>405950.13</v>
      </c>
      <c r="J10" s="713"/>
      <c r="K10" s="713"/>
      <c r="L10" s="451">
        <v>0</v>
      </c>
      <c r="M10" s="451">
        <v>2</v>
      </c>
      <c r="N10" s="451">
        <v>2</v>
      </c>
      <c r="O10" s="440">
        <f t="shared" si="0"/>
        <v>2.5824491800000002</v>
      </c>
    </row>
    <row r="11" spans="1:15" ht="21" customHeight="1" x14ac:dyDescent="0.5">
      <c r="A11" s="453" t="s">
        <v>21</v>
      </c>
      <c r="B11" s="454">
        <v>1.43</v>
      </c>
      <c r="C11" s="454">
        <v>1.22</v>
      </c>
      <c r="D11" s="454">
        <v>0.85</v>
      </c>
      <c r="E11" s="451">
        <v>1</v>
      </c>
      <c r="F11" s="455">
        <v>6169859.96</v>
      </c>
      <c r="G11" s="455">
        <v>-1237376.27</v>
      </c>
      <c r="H11" s="451">
        <v>1</v>
      </c>
      <c r="I11" s="455">
        <v>-154672.03</v>
      </c>
      <c r="J11" s="725">
        <v>39.89</v>
      </c>
      <c r="K11" s="725"/>
      <c r="L11" s="454">
        <v>0</v>
      </c>
      <c r="M11" s="454">
        <v>2</v>
      </c>
      <c r="N11" s="454">
        <v>2</v>
      </c>
      <c r="O11" s="440">
        <f t="shared" si="0"/>
        <v>6.1698599600000001</v>
      </c>
    </row>
    <row r="12" spans="1:15" ht="21" customHeight="1" x14ac:dyDescent="0.5">
      <c r="A12" s="453" t="s">
        <v>24</v>
      </c>
      <c r="B12" s="454">
        <v>1.44</v>
      </c>
      <c r="C12" s="454">
        <v>1.29</v>
      </c>
      <c r="D12" s="454">
        <v>1.1000000000000001</v>
      </c>
      <c r="E12" s="451">
        <v>1</v>
      </c>
      <c r="F12" s="455">
        <v>3758410.69</v>
      </c>
      <c r="G12" s="455">
        <v>-4305319.57</v>
      </c>
      <c r="H12" s="451">
        <v>1</v>
      </c>
      <c r="I12" s="455">
        <v>-538164.94999999995</v>
      </c>
      <c r="J12" s="725">
        <v>6.98</v>
      </c>
      <c r="K12" s="725"/>
      <c r="L12" s="454">
        <v>0</v>
      </c>
      <c r="M12" s="454">
        <v>2</v>
      </c>
      <c r="N12" s="454">
        <v>2</v>
      </c>
      <c r="O12" s="440">
        <f t="shared" si="0"/>
        <v>3.7584106899999998</v>
      </c>
    </row>
    <row r="13" spans="1:15" ht="21" customHeight="1" x14ac:dyDescent="0.5">
      <c r="A13" s="453" t="s">
        <v>14</v>
      </c>
      <c r="B13" s="454">
        <v>1.08</v>
      </c>
      <c r="C13" s="454">
        <v>1</v>
      </c>
      <c r="D13" s="454">
        <v>0.82</v>
      </c>
      <c r="E13" s="451">
        <v>1</v>
      </c>
      <c r="F13" s="455">
        <v>2395344.87</v>
      </c>
      <c r="G13" s="455">
        <v>2361888.17</v>
      </c>
      <c r="H13" s="451">
        <v>0</v>
      </c>
      <c r="I13" s="455">
        <v>295236.02</v>
      </c>
      <c r="J13" s="725"/>
      <c r="K13" s="725"/>
      <c r="L13" s="454">
        <v>0</v>
      </c>
      <c r="M13" s="454">
        <v>1</v>
      </c>
      <c r="N13" s="454">
        <v>1</v>
      </c>
      <c r="O13" s="440">
        <f t="shared" si="0"/>
        <v>2.3953448700000002</v>
      </c>
    </row>
    <row r="14" spans="1:15" ht="21" customHeight="1" x14ac:dyDescent="0.5">
      <c r="A14" s="453" t="s">
        <v>16</v>
      </c>
      <c r="B14" s="454">
        <v>1.75</v>
      </c>
      <c r="C14" s="454">
        <v>1.49</v>
      </c>
      <c r="D14" s="454">
        <v>1.22</v>
      </c>
      <c r="E14" s="451">
        <v>0</v>
      </c>
      <c r="F14" s="455">
        <v>8511773.7899999991</v>
      </c>
      <c r="G14" s="455">
        <v>-4940614.79</v>
      </c>
      <c r="H14" s="451">
        <v>1</v>
      </c>
      <c r="I14" s="455">
        <v>-617576.85</v>
      </c>
      <c r="J14" s="725">
        <v>13.78</v>
      </c>
      <c r="K14" s="725"/>
      <c r="L14" s="454">
        <v>0</v>
      </c>
      <c r="M14" s="454">
        <v>1</v>
      </c>
      <c r="N14" s="454">
        <v>1</v>
      </c>
      <c r="O14" s="440">
        <f t="shared" si="0"/>
        <v>8.5117737899999995</v>
      </c>
    </row>
    <row r="15" spans="1:15" ht="21" customHeight="1" x14ac:dyDescent="0.5">
      <c r="A15" s="453" t="s">
        <v>20</v>
      </c>
      <c r="B15" s="454">
        <v>1.22</v>
      </c>
      <c r="C15" s="454">
        <v>1.07</v>
      </c>
      <c r="D15" s="454">
        <v>0.87</v>
      </c>
      <c r="E15" s="451">
        <v>1</v>
      </c>
      <c r="F15" s="455">
        <v>3917757.2</v>
      </c>
      <c r="G15" s="455">
        <v>6270371.2199999997</v>
      </c>
      <c r="H15" s="451">
        <v>0</v>
      </c>
      <c r="I15" s="455">
        <v>783796.4</v>
      </c>
      <c r="J15" s="725"/>
      <c r="K15" s="725"/>
      <c r="L15" s="454">
        <v>0</v>
      </c>
      <c r="M15" s="454">
        <v>1</v>
      </c>
      <c r="N15" s="454">
        <v>1</v>
      </c>
      <c r="O15" s="440">
        <f t="shared" si="0"/>
        <v>3.9177572000000001</v>
      </c>
    </row>
    <row r="16" spans="1:15" ht="21" customHeight="1" x14ac:dyDescent="0.5">
      <c r="A16" s="453" t="s">
        <v>23</v>
      </c>
      <c r="B16" s="454">
        <v>1.68</v>
      </c>
      <c r="C16" s="454">
        <v>1.38</v>
      </c>
      <c r="D16" s="454">
        <v>1.22</v>
      </c>
      <c r="E16" s="451">
        <v>0</v>
      </c>
      <c r="F16" s="455">
        <v>32815166.329999998</v>
      </c>
      <c r="G16" s="455">
        <v>-1515647.94</v>
      </c>
      <c r="H16" s="451">
        <v>1</v>
      </c>
      <c r="I16" s="455">
        <v>-189455.99</v>
      </c>
      <c r="J16" s="725">
        <v>173.21</v>
      </c>
      <c r="K16" s="725"/>
      <c r="L16" s="454">
        <v>0</v>
      </c>
      <c r="M16" s="454">
        <v>1</v>
      </c>
      <c r="N16" s="454">
        <v>1</v>
      </c>
      <c r="O16" s="440">
        <f t="shared" si="0"/>
        <v>32.815166329999997</v>
      </c>
    </row>
    <row r="17" spans="1:15" ht="21" customHeight="1" x14ac:dyDescent="0.5">
      <c r="A17" s="453" t="s">
        <v>27</v>
      </c>
      <c r="B17" s="454">
        <v>1.18</v>
      </c>
      <c r="C17" s="454">
        <v>1.05</v>
      </c>
      <c r="D17" s="454">
        <v>0.86</v>
      </c>
      <c r="E17" s="451">
        <v>1</v>
      </c>
      <c r="F17" s="455">
        <v>1669838.68</v>
      </c>
      <c r="G17" s="455">
        <v>635064.21</v>
      </c>
      <c r="H17" s="451">
        <v>0</v>
      </c>
      <c r="I17" s="455">
        <v>79383.03</v>
      </c>
      <c r="J17" s="725"/>
      <c r="K17" s="725"/>
      <c r="L17" s="454">
        <v>0</v>
      </c>
      <c r="M17" s="454">
        <v>1</v>
      </c>
      <c r="N17" s="454">
        <v>1</v>
      </c>
      <c r="O17" s="440">
        <f t="shared" si="0"/>
        <v>1.66983868</v>
      </c>
    </row>
    <row r="18" spans="1:15" ht="21" customHeight="1" x14ac:dyDescent="0.5">
      <c r="A18" s="453" t="s">
        <v>26</v>
      </c>
      <c r="B18" s="454">
        <v>1.1299999999999999</v>
      </c>
      <c r="C18" s="454">
        <v>1.01</v>
      </c>
      <c r="D18" s="454">
        <v>0.85</v>
      </c>
      <c r="E18" s="451">
        <v>1</v>
      </c>
      <c r="F18" s="455">
        <v>2085799.33</v>
      </c>
      <c r="G18" s="455">
        <v>6365058.5199999996</v>
      </c>
      <c r="H18" s="451">
        <v>0</v>
      </c>
      <c r="I18" s="455">
        <v>795632.32</v>
      </c>
      <c r="J18" s="725"/>
      <c r="K18" s="725"/>
      <c r="L18" s="454">
        <v>0</v>
      </c>
      <c r="M18" s="454">
        <v>1</v>
      </c>
      <c r="N18" s="454">
        <v>1</v>
      </c>
      <c r="O18" s="440">
        <f t="shared" si="0"/>
        <v>2.08579933</v>
      </c>
    </row>
    <row r="19" spans="1:15" ht="21" customHeight="1" x14ac:dyDescent="0.5">
      <c r="A19" s="453" t="s">
        <v>12</v>
      </c>
      <c r="B19" s="454">
        <v>3.57</v>
      </c>
      <c r="C19" s="454">
        <v>3.43</v>
      </c>
      <c r="D19" s="454">
        <v>2.34</v>
      </c>
      <c r="E19" s="451">
        <v>0</v>
      </c>
      <c r="F19" s="455">
        <v>571956215.22000003</v>
      </c>
      <c r="G19" s="455">
        <v>66782111.759999998</v>
      </c>
      <c r="H19" s="451">
        <v>0</v>
      </c>
      <c r="I19" s="455">
        <v>8347763.9699999997</v>
      </c>
      <c r="J19" s="725"/>
      <c r="K19" s="725"/>
      <c r="L19" s="454">
        <v>0</v>
      </c>
      <c r="M19" s="454">
        <v>0</v>
      </c>
      <c r="N19" s="454">
        <v>0</v>
      </c>
      <c r="O19" s="440">
        <f t="shared" si="0"/>
        <v>571.95621521999999</v>
      </c>
    </row>
    <row r="20" spans="1:15" ht="21" customHeight="1" x14ac:dyDescent="0.5">
      <c r="A20" s="453" t="s">
        <v>18</v>
      </c>
      <c r="B20" s="454">
        <v>2.13</v>
      </c>
      <c r="C20" s="454">
        <v>1.96</v>
      </c>
      <c r="D20" s="454">
        <v>1.57</v>
      </c>
      <c r="E20" s="451">
        <v>0</v>
      </c>
      <c r="F20" s="455">
        <v>42384427.759999998</v>
      </c>
      <c r="G20" s="455">
        <v>10892373.199999999</v>
      </c>
      <c r="H20" s="451">
        <v>0</v>
      </c>
      <c r="I20" s="455">
        <v>1361546.65</v>
      </c>
      <c r="J20" s="725"/>
      <c r="K20" s="725"/>
      <c r="L20" s="454">
        <v>0</v>
      </c>
      <c r="M20" s="454">
        <v>0</v>
      </c>
      <c r="N20" s="454">
        <v>0</v>
      </c>
      <c r="O20" s="440">
        <f t="shared" si="0"/>
        <v>42.384427760000001</v>
      </c>
    </row>
    <row r="21" spans="1:15" ht="21" customHeight="1" x14ac:dyDescent="0.5">
      <c r="A21" s="458"/>
      <c r="B21" s="458"/>
      <c r="C21" s="458"/>
      <c r="D21" s="458"/>
      <c r="E21" s="458"/>
      <c r="F21" s="459">
        <f>SUM(F5:F20)</f>
        <v>699046066.52999997</v>
      </c>
      <c r="G21" s="459">
        <f>SUM(G5:G20)</f>
        <v>68442930.539999992</v>
      </c>
      <c r="H21" s="458"/>
      <c r="I21" s="458"/>
      <c r="J21" s="460"/>
      <c r="K21" s="460"/>
      <c r="L21" s="460"/>
      <c r="M21" s="458"/>
      <c r="N21" s="458"/>
      <c r="O21" s="440">
        <f t="shared" si="0"/>
        <v>699.04606652999996</v>
      </c>
    </row>
    <row r="22" spans="1:15" ht="30" customHeight="1" x14ac:dyDescent="0.5">
      <c r="A22" s="179"/>
      <c r="B22" s="179"/>
      <c r="C22" s="179"/>
      <c r="D22" s="179"/>
      <c r="E22" s="179"/>
      <c r="F22" s="449"/>
      <c r="G22" s="179"/>
      <c r="H22" s="179"/>
      <c r="I22" s="179"/>
      <c r="J22" s="450"/>
      <c r="K22" s="450"/>
      <c r="L22" s="450"/>
      <c r="M22" s="179"/>
      <c r="N22" s="179"/>
      <c r="O22" s="440"/>
    </row>
    <row r="23" spans="1:15" ht="30" customHeight="1" x14ac:dyDescent="0.5">
      <c r="A23" s="179"/>
      <c r="B23" s="179"/>
      <c r="C23" s="179"/>
      <c r="D23" s="179"/>
      <c r="E23" s="179"/>
      <c r="F23" s="449"/>
      <c r="G23" s="179"/>
      <c r="H23" s="179"/>
      <c r="I23" s="179"/>
      <c r="J23" s="450"/>
      <c r="K23" s="450"/>
      <c r="L23" s="450"/>
      <c r="M23" s="179"/>
      <c r="N23" s="179"/>
      <c r="O23" s="440"/>
    </row>
    <row r="24" spans="1:15" ht="30" customHeight="1" x14ac:dyDescent="0.5">
      <c r="A24" s="179"/>
      <c r="B24" s="179"/>
      <c r="C24" s="179"/>
      <c r="D24" s="179"/>
      <c r="E24" s="179"/>
      <c r="F24" s="449"/>
      <c r="G24" s="179"/>
      <c r="H24" s="179"/>
      <c r="I24" s="179"/>
      <c r="J24" s="450"/>
      <c r="K24" s="450"/>
      <c r="L24" s="450"/>
      <c r="M24" s="179"/>
      <c r="N24" s="179"/>
      <c r="O24" s="440"/>
    </row>
    <row r="25" spans="1:15" ht="30" customHeight="1" x14ac:dyDescent="0.5">
      <c r="A25" s="179"/>
      <c r="B25" s="179"/>
      <c r="C25" s="179"/>
      <c r="D25" s="179"/>
      <c r="E25" s="179"/>
      <c r="F25" s="449"/>
      <c r="G25" s="179"/>
      <c r="H25" s="179"/>
      <c r="I25" s="179"/>
      <c r="J25" s="450"/>
      <c r="K25" s="450"/>
      <c r="L25" s="450"/>
      <c r="M25" s="179"/>
      <c r="N25" s="179"/>
      <c r="O25" s="440"/>
    </row>
    <row r="26" spans="1:15" ht="30" customHeight="1" x14ac:dyDescent="0.5">
      <c r="A26" s="179"/>
      <c r="B26" s="179"/>
      <c r="C26" s="179"/>
      <c r="D26" s="179"/>
      <c r="E26" s="179"/>
      <c r="F26" s="449"/>
      <c r="G26" s="179"/>
      <c r="H26" s="179"/>
      <c r="I26" s="179"/>
      <c r="J26" s="450"/>
      <c r="K26" s="450"/>
      <c r="L26" s="450"/>
      <c r="M26" s="179"/>
      <c r="N26" s="179"/>
      <c r="O26" s="440"/>
    </row>
    <row r="27" spans="1:15" ht="30" customHeight="1" x14ac:dyDescent="0.5">
      <c r="A27" s="179"/>
      <c r="B27" s="179"/>
      <c r="C27" s="179"/>
      <c r="D27" s="179"/>
      <c r="E27" s="179"/>
      <c r="F27" s="449"/>
      <c r="G27" s="179"/>
      <c r="H27" s="179"/>
      <c r="I27" s="179"/>
      <c r="J27" s="450"/>
      <c r="K27" s="450"/>
      <c r="L27" s="450"/>
      <c r="M27" s="179"/>
      <c r="N27" s="179"/>
      <c r="O27" s="440"/>
    </row>
    <row r="28" spans="1:15" ht="51.75" customHeight="1" x14ac:dyDescent="0.5">
      <c r="A28" s="167"/>
      <c r="B28" s="168"/>
      <c r="C28" s="168"/>
      <c r="D28" s="168"/>
      <c r="E28" s="168"/>
      <c r="F28" s="169"/>
      <c r="G28" s="169"/>
      <c r="H28" s="169"/>
      <c r="I28" s="441" t="s">
        <v>28</v>
      </c>
      <c r="J28" s="442"/>
      <c r="K28" s="442"/>
      <c r="L28" s="442"/>
    </row>
    <row r="29" spans="1:15" ht="51.75" customHeight="1" x14ac:dyDescent="0.5">
      <c r="A29" s="175" t="s">
        <v>29</v>
      </c>
      <c r="B29" s="169"/>
      <c r="C29" s="169"/>
      <c r="D29" s="169"/>
      <c r="E29" s="169"/>
      <c r="F29" s="169"/>
      <c r="G29" s="169"/>
      <c r="H29" s="169"/>
      <c r="I29" s="176" t="s">
        <v>30</v>
      </c>
      <c r="J29" s="723" t="s">
        <v>31</v>
      </c>
      <c r="K29" s="723"/>
      <c r="L29" s="723"/>
    </row>
    <row r="30" spans="1:15" ht="51.75" customHeight="1" x14ac:dyDescent="0.5">
      <c r="A30" s="175"/>
      <c r="B30" s="169"/>
      <c r="C30" s="169"/>
      <c r="D30" s="169"/>
      <c r="E30" s="169"/>
      <c r="F30" s="169"/>
      <c r="G30" s="169"/>
      <c r="H30" s="169"/>
      <c r="I30" s="180" t="s">
        <v>33</v>
      </c>
      <c r="J30" s="723"/>
      <c r="K30" s="723"/>
      <c r="L30" s="723"/>
    </row>
    <row r="31" spans="1:15" ht="51.75" customHeight="1" x14ac:dyDescent="0.5">
      <c r="A31" s="181" t="s">
        <v>35</v>
      </c>
      <c r="B31" s="169"/>
      <c r="C31" s="169"/>
      <c r="D31" s="169"/>
      <c r="E31" s="169"/>
      <c r="F31" s="169"/>
      <c r="G31" s="169"/>
      <c r="H31" s="169"/>
      <c r="I31" s="182" t="s">
        <v>70</v>
      </c>
      <c r="J31" s="723" t="s">
        <v>31</v>
      </c>
      <c r="K31" s="723"/>
      <c r="L31" s="723"/>
    </row>
    <row r="32" spans="1:15" ht="51.75" customHeight="1" x14ac:dyDescent="0.5">
      <c r="A32" s="175"/>
      <c r="B32" s="169"/>
      <c r="C32" s="169"/>
      <c r="D32" s="169"/>
      <c r="E32" s="169"/>
      <c r="F32" s="169"/>
      <c r="G32" s="169"/>
      <c r="H32" s="169"/>
      <c r="I32" s="180" t="s">
        <v>33</v>
      </c>
      <c r="J32" s="723"/>
      <c r="K32" s="723"/>
      <c r="L32" s="723"/>
    </row>
    <row r="33" spans="1:12" ht="51.75" customHeight="1" x14ac:dyDescent="0.5">
      <c r="A33" s="175" t="s">
        <v>38</v>
      </c>
      <c r="B33" s="169"/>
      <c r="C33" s="169"/>
      <c r="D33" s="169"/>
      <c r="E33" s="169"/>
      <c r="F33" s="169"/>
      <c r="G33" s="180" t="s">
        <v>39</v>
      </c>
      <c r="H33" s="443"/>
      <c r="I33" s="724" t="s">
        <v>31</v>
      </c>
      <c r="J33" s="724"/>
      <c r="K33" s="444"/>
      <c r="L33" s="444"/>
    </row>
    <row r="34" spans="1:12" ht="51.75" customHeight="1" x14ac:dyDescent="0.5">
      <c r="A34" s="445" t="s">
        <v>41</v>
      </c>
      <c r="B34" s="169"/>
      <c r="C34" s="169"/>
      <c r="D34" s="169"/>
      <c r="E34" s="169"/>
      <c r="F34" s="169"/>
      <c r="G34" s="189" t="s">
        <v>71</v>
      </c>
      <c r="H34" s="446"/>
      <c r="I34" s="190"/>
      <c r="J34" s="447"/>
      <c r="K34" s="447"/>
      <c r="L34" s="447"/>
    </row>
    <row r="35" spans="1:12" ht="51.75" customHeight="1" x14ac:dyDescent="0.5">
      <c r="G35" s="169"/>
      <c r="H35" s="169"/>
      <c r="I35" s="192"/>
      <c r="J35" s="193"/>
      <c r="K35" s="193"/>
      <c r="L35" s="193"/>
    </row>
    <row r="36" spans="1:12" ht="51.75" customHeight="1" x14ac:dyDescent="0.5">
      <c r="A36" s="192"/>
      <c r="B36" s="169"/>
      <c r="C36" s="169"/>
      <c r="D36" s="169"/>
      <c r="E36" s="169"/>
      <c r="F36" s="169"/>
      <c r="G36" s="169"/>
      <c r="H36" s="169"/>
      <c r="I36" s="176" t="s">
        <v>72</v>
      </c>
      <c r="J36" s="723" t="s">
        <v>31</v>
      </c>
      <c r="K36" s="723"/>
      <c r="L36" s="723"/>
    </row>
    <row r="37" spans="1:12" ht="51.75" customHeight="1" x14ac:dyDescent="0.5">
      <c r="A37" s="192"/>
      <c r="B37" s="169"/>
      <c r="C37" s="169"/>
      <c r="D37" s="169"/>
      <c r="E37" s="169"/>
      <c r="F37" s="169"/>
      <c r="G37" s="169"/>
      <c r="H37" s="169"/>
      <c r="I37" s="180" t="s">
        <v>33</v>
      </c>
      <c r="J37" s="723"/>
      <c r="K37" s="723"/>
      <c r="L37" s="723"/>
    </row>
    <row r="38" spans="1:12" ht="51.75" customHeight="1" x14ac:dyDescent="0.5">
      <c r="A38" s="175" t="s">
        <v>83</v>
      </c>
      <c r="B38" s="169"/>
      <c r="C38" s="169"/>
      <c r="D38" s="169"/>
      <c r="E38" s="169"/>
      <c r="F38" s="169"/>
      <c r="G38" s="169"/>
      <c r="H38" s="169"/>
      <c r="I38" s="192"/>
      <c r="J38" s="193"/>
      <c r="K38" s="193"/>
      <c r="L38" s="193"/>
    </row>
    <row r="39" spans="1:12" ht="51.75" customHeight="1" x14ac:dyDescent="0.5">
      <c r="A39" s="175" t="s">
        <v>46</v>
      </c>
      <c r="B39" s="169"/>
      <c r="C39" s="169"/>
      <c r="D39" s="169"/>
      <c r="E39" s="169"/>
      <c r="F39" s="169"/>
      <c r="G39" s="169"/>
      <c r="H39" s="169"/>
      <c r="I39" s="192"/>
      <c r="J39" s="193"/>
      <c r="K39" s="193"/>
      <c r="L39" s="193"/>
    </row>
    <row r="40" spans="1:12" ht="51.75" customHeight="1" x14ac:dyDescent="0.5">
      <c r="A40" s="175" t="s">
        <v>89</v>
      </c>
      <c r="B40" s="169"/>
      <c r="C40" s="169"/>
      <c r="D40" s="169"/>
      <c r="E40" s="169"/>
      <c r="F40" s="169"/>
      <c r="G40" s="169"/>
      <c r="H40" s="169"/>
      <c r="I40" s="192"/>
      <c r="J40" s="193"/>
      <c r="K40" s="193"/>
      <c r="L40" s="193"/>
    </row>
    <row r="41" spans="1:12" ht="51.75" customHeight="1" x14ac:dyDescent="0.5">
      <c r="A41" s="175" t="s">
        <v>90</v>
      </c>
      <c r="B41" s="169"/>
      <c r="C41" s="169"/>
      <c r="D41" s="169"/>
      <c r="E41" s="169"/>
      <c r="F41" s="169"/>
      <c r="G41" s="169"/>
      <c r="H41" s="169"/>
      <c r="I41" s="192"/>
      <c r="J41" s="193"/>
      <c r="K41" s="193"/>
      <c r="L41" s="193"/>
    </row>
    <row r="42" spans="1:12" ht="51.75" customHeight="1" x14ac:dyDescent="0.5">
      <c r="A42" s="175" t="s">
        <v>185</v>
      </c>
      <c r="B42" s="169"/>
      <c r="C42" s="175"/>
      <c r="D42" s="448"/>
      <c r="E42" s="448"/>
      <c r="F42" s="448"/>
      <c r="G42" s="448"/>
      <c r="H42" s="448"/>
      <c r="I42" s="173"/>
      <c r="J42" s="193"/>
      <c r="K42" s="193"/>
      <c r="L42" s="193"/>
    </row>
    <row r="43" spans="1:12" ht="51.75" customHeight="1" x14ac:dyDescent="0.5">
      <c r="A43" s="192"/>
      <c r="B43" s="169"/>
      <c r="C43" s="175" t="s">
        <v>50</v>
      </c>
      <c r="D43" s="169"/>
      <c r="E43" s="169"/>
      <c r="F43" s="169"/>
      <c r="G43" s="169"/>
      <c r="H43" s="169"/>
      <c r="I43" s="192"/>
      <c r="J43" s="193"/>
      <c r="K43" s="193"/>
      <c r="L43" s="193"/>
    </row>
    <row r="44" spans="1:12" ht="51.75" customHeight="1" x14ac:dyDescent="0.5">
      <c r="A44" s="192"/>
      <c r="B44" s="169"/>
      <c r="C44" s="175" t="s">
        <v>51</v>
      </c>
      <c r="D44" s="169"/>
      <c r="E44" s="169"/>
      <c r="F44" s="169"/>
      <c r="G44" s="169"/>
      <c r="H44" s="169"/>
      <c r="I44" s="192"/>
      <c r="J44" s="193"/>
      <c r="K44" s="193"/>
      <c r="L44" s="193"/>
    </row>
    <row r="45" spans="1:12" ht="51.75" customHeight="1" x14ac:dyDescent="0.5">
      <c r="A45" s="192"/>
      <c r="B45" s="169"/>
      <c r="C45" s="175" t="s">
        <v>52</v>
      </c>
      <c r="D45" s="169"/>
      <c r="E45" s="169"/>
      <c r="F45" s="169"/>
      <c r="G45" s="169"/>
      <c r="H45" s="169"/>
      <c r="I45" s="192"/>
      <c r="J45" s="193"/>
      <c r="K45" s="193"/>
      <c r="L45" s="193"/>
    </row>
    <row r="46" spans="1:12" ht="51.75" customHeight="1" x14ac:dyDescent="0.5">
      <c r="A46" s="194" t="s">
        <v>53</v>
      </c>
      <c r="B46" s="169"/>
      <c r="C46" s="169"/>
      <c r="D46" s="169"/>
      <c r="E46" s="169"/>
      <c r="F46" s="169"/>
      <c r="G46" s="169"/>
      <c r="H46" s="169"/>
      <c r="I46" s="192"/>
      <c r="J46" s="193"/>
      <c r="K46" s="193"/>
      <c r="L46" s="193"/>
    </row>
    <row r="47" spans="1:12" ht="51.75" customHeight="1" x14ac:dyDescent="0.5">
      <c r="A47" s="175" t="s">
        <v>84</v>
      </c>
      <c r="B47" s="169"/>
      <c r="C47" s="169"/>
      <c r="D47" s="169"/>
      <c r="E47" s="169"/>
      <c r="F47" s="169"/>
      <c r="G47" s="169"/>
      <c r="H47" s="169"/>
      <c r="I47" s="192"/>
      <c r="J47" s="193"/>
      <c r="K47" s="193"/>
      <c r="L47" s="193"/>
    </row>
    <row r="48" spans="1:12" ht="51.75" customHeight="1" x14ac:dyDescent="0.5">
      <c r="A48" s="701" t="s">
        <v>171</v>
      </c>
      <c r="B48" s="701"/>
      <c r="C48" s="701"/>
      <c r="D48" s="169"/>
      <c r="E48" s="169"/>
      <c r="F48" s="169"/>
      <c r="G48" s="169"/>
      <c r="H48" s="169"/>
      <c r="I48" s="169"/>
      <c r="J48" s="198"/>
      <c r="K48" s="198"/>
      <c r="L48" s="198"/>
    </row>
    <row r="49" spans="1:12" ht="51.75" customHeight="1" x14ac:dyDescent="0.5">
      <c r="A49" s="194" t="s">
        <v>69</v>
      </c>
    </row>
    <row r="52" spans="1:12" ht="51.75" customHeight="1" x14ac:dyDescent="0.5">
      <c r="A52" s="199"/>
      <c r="B52" s="200"/>
      <c r="C52" s="200"/>
      <c r="D52" s="200"/>
      <c r="E52" s="200"/>
      <c r="F52" s="168"/>
      <c r="G52" s="168"/>
      <c r="H52" s="168"/>
      <c r="I52" s="168"/>
      <c r="J52" s="201"/>
      <c r="K52" s="201"/>
      <c r="L52" s="201"/>
    </row>
  </sheetData>
  <mergeCells count="33">
    <mergeCell ref="J16:K16"/>
    <mergeCell ref="J17:K17"/>
    <mergeCell ref="J18:K18"/>
    <mergeCell ref="J19:K19"/>
    <mergeCell ref="J20:K20"/>
    <mergeCell ref="J10:K10"/>
    <mergeCell ref="J11:K11"/>
    <mergeCell ref="J12:K12"/>
    <mergeCell ref="J13:K13"/>
    <mergeCell ref="M2:M4"/>
    <mergeCell ref="A1:N1"/>
    <mergeCell ref="E3:E4"/>
    <mergeCell ref="H3:H4"/>
    <mergeCell ref="I3:I4"/>
    <mergeCell ref="J3:K4"/>
    <mergeCell ref="L3:L4"/>
    <mergeCell ref="N2:N3"/>
    <mergeCell ref="A48:C48"/>
    <mergeCell ref="A2:A4"/>
    <mergeCell ref="B2:E2"/>
    <mergeCell ref="F2:H2"/>
    <mergeCell ref="I2:L2"/>
    <mergeCell ref="J29:L30"/>
    <mergeCell ref="J31:L32"/>
    <mergeCell ref="I33:J33"/>
    <mergeCell ref="J36:L37"/>
    <mergeCell ref="J14:K14"/>
    <mergeCell ref="J15:K15"/>
    <mergeCell ref="J5:K5"/>
    <mergeCell ref="J6:K6"/>
    <mergeCell ref="J7:K7"/>
    <mergeCell ref="J8:K8"/>
    <mergeCell ref="J9:K9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B4" zoomScale="70" zoomScaleNormal="70" workbookViewId="0">
      <selection activeCell="G7" sqref="G7"/>
    </sheetView>
  </sheetViews>
  <sheetFormatPr defaultRowHeight="14.25" x14ac:dyDescent="0.2"/>
  <cols>
    <col min="1" max="1" width="0" hidden="1" customWidth="1"/>
    <col min="2" max="2" width="23.375" customWidth="1"/>
    <col min="3" max="3" width="11.5" customWidth="1"/>
    <col min="4" max="4" width="8.125" customWidth="1"/>
    <col min="5" max="5" width="8.25" customWidth="1"/>
    <col min="6" max="6" width="11" customWidth="1"/>
    <col min="7" max="7" width="19" customWidth="1"/>
    <col min="8" max="8" width="17.625" customWidth="1"/>
    <col min="9" max="9" width="10.375" customWidth="1"/>
    <col min="10" max="10" width="19.5" customWidth="1"/>
    <col min="11" max="11" width="15.75" customWidth="1"/>
    <col min="12" max="12" width="11.75" customWidth="1"/>
    <col min="13" max="13" width="15.375" customWidth="1"/>
    <col min="14" max="14" width="11.5" hidden="1" customWidth="1"/>
    <col min="15" max="15" width="14.75" hidden="1" customWidth="1"/>
    <col min="16" max="16" width="13.75" hidden="1" customWidth="1"/>
    <col min="17" max="17" width="9" customWidth="1"/>
  </cols>
  <sheetData>
    <row r="1" spans="1:16" ht="41.25" customHeight="1" thickBot="1" x14ac:dyDescent="0.25">
      <c r="B1" s="733" t="s">
        <v>215</v>
      </c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565"/>
      <c r="O1" s="565"/>
    </row>
    <row r="2" spans="1:16" ht="60.75" customHeight="1" thickBot="1" x14ac:dyDescent="0.25">
      <c r="B2" s="727" t="s">
        <v>1</v>
      </c>
      <c r="C2" s="734" t="s">
        <v>161</v>
      </c>
      <c r="D2" s="734"/>
      <c r="E2" s="734"/>
      <c r="F2" s="734"/>
      <c r="G2" s="735" t="s">
        <v>162</v>
      </c>
      <c r="H2" s="735"/>
      <c r="I2" s="735"/>
      <c r="J2" s="736" t="s">
        <v>163</v>
      </c>
      <c r="K2" s="736"/>
      <c r="L2" s="736"/>
      <c r="M2" s="737" t="s">
        <v>216</v>
      </c>
      <c r="N2" s="566"/>
      <c r="O2" s="728" t="s">
        <v>165</v>
      </c>
    </row>
    <row r="3" spans="1:16" ht="63" customHeight="1" thickBot="1" x14ac:dyDescent="0.25">
      <c r="B3" s="727"/>
      <c r="C3" s="740" t="s">
        <v>2</v>
      </c>
      <c r="D3" s="740" t="s">
        <v>3</v>
      </c>
      <c r="E3" s="740" t="s">
        <v>4</v>
      </c>
      <c r="F3" s="741" t="s">
        <v>166</v>
      </c>
      <c r="G3" s="742" t="s">
        <v>167</v>
      </c>
      <c r="H3" s="727" t="s">
        <v>168</v>
      </c>
      <c r="I3" s="730" t="s">
        <v>166</v>
      </c>
      <c r="J3" s="732" t="s">
        <v>169</v>
      </c>
      <c r="K3" s="727" t="s">
        <v>170</v>
      </c>
      <c r="L3" s="738" t="s">
        <v>166</v>
      </c>
      <c r="M3" s="737"/>
      <c r="N3" s="729" t="s">
        <v>80</v>
      </c>
      <c r="O3" s="728"/>
    </row>
    <row r="4" spans="1:16" ht="86.25" customHeight="1" thickBot="1" x14ac:dyDescent="0.25">
      <c r="B4" s="727"/>
      <c r="C4" s="740"/>
      <c r="D4" s="740"/>
      <c r="E4" s="740"/>
      <c r="F4" s="741"/>
      <c r="G4" s="742"/>
      <c r="H4" s="727"/>
      <c r="I4" s="731"/>
      <c r="J4" s="732"/>
      <c r="K4" s="727"/>
      <c r="L4" s="739"/>
      <c r="M4" s="737"/>
      <c r="N4" s="729"/>
      <c r="O4" s="728"/>
    </row>
    <row r="5" spans="1:16" ht="35.1" customHeight="1" thickBot="1" x14ac:dyDescent="0.55000000000000004">
      <c r="A5">
        <v>14</v>
      </c>
      <c r="B5" s="506" t="s">
        <v>13</v>
      </c>
      <c r="C5" s="567">
        <v>1.1399999999999999</v>
      </c>
      <c r="D5" s="567">
        <v>0.93</v>
      </c>
      <c r="E5" s="567">
        <v>0.57999999999999996</v>
      </c>
      <c r="F5" s="568">
        <v>3</v>
      </c>
      <c r="G5" s="569">
        <v>12307840.59</v>
      </c>
      <c r="H5" s="60">
        <v>-21773610</v>
      </c>
      <c r="I5" s="568">
        <v>1</v>
      </c>
      <c r="J5" s="509">
        <f t="shared" ref="J5:J20" si="0">SUM(H5/10)</f>
        <v>-2177361</v>
      </c>
      <c r="K5" s="510">
        <v>5.65</v>
      </c>
      <c r="L5" s="511" t="s">
        <v>217</v>
      </c>
      <c r="M5" s="512">
        <v>5</v>
      </c>
      <c r="N5" s="570"/>
      <c r="O5" s="571"/>
      <c r="P5" s="572">
        <v>5</v>
      </c>
    </row>
    <row r="6" spans="1:16" ht="35.1" customHeight="1" thickBot="1" x14ac:dyDescent="0.55000000000000004">
      <c r="A6">
        <v>2</v>
      </c>
      <c r="B6" s="516" t="s">
        <v>19</v>
      </c>
      <c r="C6" s="567">
        <v>0.96</v>
      </c>
      <c r="D6" s="567">
        <v>0.85</v>
      </c>
      <c r="E6" s="567">
        <v>0.65</v>
      </c>
      <c r="F6" s="568">
        <v>3</v>
      </c>
      <c r="G6" s="60">
        <v>-908493.23</v>
      </c>
      <c r="H6" s="569">
        <v>7627418.9100000001</v>
      </c>
      <c r="I6" s="568">
        <v>1</v>
      </c>
      <c r="J6" s="509">
        <f t="shared" si="0"/>
        <v>762741.89100000006</v>
      </c>
      <c r="K6" s="510"/>
      <c r="L6" s="514" t="s">
        <v>218</v>
      </c>
      <c r="M6" s="512">
        <v>4</v>
      </c>
      <c r="N6" s="570"/>
      <c r="O6" s="571"/>
      <c r="P6" s="573">
        <v>0</v>
      </c>
    </row>
    <row r="7" spans="1:16" ht="35.1" customHeight="1" thickBot="1" x14ac:dyDescent="0.55000000000000004">
      <c r="A7">
        <v>8</v>
      </c>
      <c r="B7" s="516" t="s">
        <v>25</v>
      </c>
      <c r="C7" s="567">
        <v>1.07</v>
      </c>
      <c r="D7" s="567">
        <v>0.96</v>
      </c>
      <c r="E7" s="567">
        <v>0.59</v>
      </c>
      <c r="F7" s="568">
        <v>3</v>
      </c>
      <c r="G7" s="569">
        <v>1379522.45</v>
      </c>
      <c r="H7" s="60">
        <v>-2218784.08</v>
      </c>
      <c r="I7" s="568">
        <v>1</v>
      </c>
      <c r="J7" s="509">
        <f t="shared" si="0"/>
        <v>-221878.408</v>
      </c>
      <c r="K7" s="510">
        <v>6.22</v>
      </c>
      <c r="L7" s="514">
        <v>0</v>
      </c>
      <c r="M7" s="517">
        <v>4</v>
      </c>
      <c r="N7" s="570"/>
      <c r="O7" s="571"/>
      <c r="P7" s="574">
        <v>4</v>
      </c>
    </row>
    <row r="8" spans="1:16" ht="35.1" customHeight="1" thickBot="1" x14ac:dyDescent="0.55000000000000004">
      <c r="A8">
        <v>11</v>
      </c>
      <c r="B8" s="506" t="s">
        <v>15</v>
      </c>
      <c r="C8" s="567">
        <v>1.24</v>
      </c>
      <c r="D8" s="575">
        <v>1.07</v>
      </c>
      <c r="E8" s="575">
        <v>0.86</v>
      </c>
      <c r="F8" s="568">
        <v>1</v>
      </c>
      <c r="G8" s="569">
        <v>4376239.76</v>
      </c>
      <c r="H8" s="60">
        <v>-7260253.5899999999</v>
      </c>
      <c r="I8" s="568">
        <v>1</v>
      </c>
      <c r="J8" s="509">
        <f t="shared" si="0"/>
        <v>-726025.35899999994</v>
      </c>
      <c r="K8" s="510">
        <v>6.03</v>
      </c>
      <c r="L8" s="514" t="s">
        <v>218</v>
      </c>
      <c r="M8" s="519">
        <v>2</v>
      </c>
      <c r="N8" s="570"/>
      <c r="O8" s="571"/>
      <c r="P8" s="576">
        <v>4</v>
      </c>
    </row>
    <row r="9" spans="1:16" ht="35.1" customHeight="1" thickBot="1" x14ac:dyDescent="0.55000000000000004">
      <c r="A9">
        <v>4</v>
      </c>
      <c r="B9" s="516" t="s">
        <v>21</v>
      </c>
      <c r="C9" s="567">
        <v>1.33</v>
      </c>
      <c r="D9" s="575">
        <v>1.1399999999999999</v>
      </c>
      <c r="E9" s="575">
        <v>0.81</v>
      </c>
      <c r="F9" s="568">
        <v>1</v>
      </c>
      <c r="G9" s="569">
        <v>4886321.62</v>
      </c>
      <c r="H9" s="60">
        <v>-2960160.12</v>
      </c>
      <c r="I9" s="568">
        <v>1</v>
      </c>
      <c r="J9" s="509">
        <f t="shared" si="0"/>
        <v>-296016.01199999999</v>
      </c>
      <c r="K9" s="510">
        <v>16.510000000000002</v>
      </c>
      <c r="L9" s="514" t="s">
        <v>218</v>
      </c>
      <c r="M9" s="519">
        <v>2</v>
      </c>
      <c r="N9" s="570"/>
      <c r="O9" s="571"/>
      <c r="P9" s="577">
        <v>2</v>
      </c>
    </row>
    <row r="10" spans="1:16" ht="35.1" customHeight="1" thickBot="1" x14ac:dyDescent="0.55000000000000004">
      <c r="A10">
        <v>6</v>
      </c>
      <c r="B10" s="506" t="s">
        <v>27</v>
      </c>
      <c r="C10" s="567">
        <v>1.1599999999999999</v>
      </c>
      <c r="D10" s="575">
        <v>1.02</v>
      </c>
      <c r="E10" s="575">
        <v>0.82</v>
      </c>
      <c r="F10" s="568">
        <v>1</v>
      </c>
      <c r="G10" s="569">
        <v>1386187.96</v>
      </c>
      <c r="H10" s="60">
        <v>-64193.81</v>
      </c>
      <c r="I10" s="578">
        <v>1</v>
      </c>
      <c r="J10" s="509">
        <f t="shared" si="0"/>
        <v>-6419.3809999999994</v>
      </c>
      <c r="K10" s="510">
        <v>215.94</v>
      </c>
      <c r="L10" s="514" t="s">
        <v>218</v>
      </c>
      <c r="M10" s="522">
        <v>2</v>
      </c>
      <c r="N10" s="570"/>
      <c r="O10" s="571"/>
      <c r="P10" s="579">
        <v>2</v>
      </c>
    </row>
    <row r="11" spans="1:16" ht="35.1" customHeight="1" thickBot="1" x14ac:dyDescent="0.55000000000000004">
      <c r="A11">
        <v>10</v>
      </c>
      <c r="B11" s="506" t="s">
        <v>14</v>
      </c>
      <c r="C11" s="567">
        <v>1.21</v>
      </c>
      <c r="D11" s="575">
        <v>1.1000000000000001</v>
      </c>
      <c r="E11" s="575">
        <v>0.91</v>
      </c>
      <c r="F11" s="568">
        <v>1</v>
      </c>
      <c r="G11" s="569">
        <v>5825388.2199999997</v>
      </c>
      <c r="H11" s="569">
        <v>5649606.7699999996</v>
      </c>
      <c r="I11" s="578">
        <v>0</v>
      </c>
      <c r="J11" s="509">
        <f t="shared" si="0"/>
        <v>564960.67699999991</v>
      </c>
      <c r="K11" s="510"/>
      <c r="L11" s="514" t="s">
        <v>218</v>
      </c>
      <c r="M11" s="522">
        <v>1</v>
      </c>
      <c r="N11" s="570"/>
      <c r="O11" s="580"/>
      <c r="P11" s="581">
        <v>1</v>
      </c>
    </row>
    <row r="12" spans="1:16" ht="35.1" customHeight="1" thickBot="1" x14ac:dyDescent="0.55000000000000004">
      <c r="A12">
        <v>13</v>
      </c>
      <c r="B12" s="506" t="s">
        <v>16</v>
      </c>
      <c r="C12" s="575">
        <v>2.34</v>
      </c>
      <c r="D12" s="575">
        <v>2.0099999999999998</v>
      </c>
      <c r="E12" s="575">
        <v>1.74</v>
      </c>
      <c r="F12" s="578">
        <v>0</v>
      </c>
      <c r="G12" s="569">
        <v>13364138.02</v>
      </c>
      <c r="H12" s="60">
        <v>-2096329.8</v>
      </c>
      <c r="I12" s="568">
        <v>1</v>
      </c>
      <c r="J12" s="509">
        <f t="shared" si="0"/>
        <v>-209632.98</v>
      </c>
      <c r="K12" s="510">
        <v>63.75</v>
      </c>
      <c r="L12" s="514" t="s">
        <v>218</v>
      </c>
      <c r="M12" s="522">
        <v>1</v>
      </c>
      <c r="N12" s="582"/>
      <c r="O12" s="580"/>
      <c r="P12" s="583">
        <v>1</v>
      </c>
    </row>
    <row r="13" spans="1:16" ht="35.1" customHeight="1" thickBot="1" x14ac:dyDescent="0.55000000000000004">
      <c r="A13">
        <v>3</v>
      </c>
      <c r="B13" s="516" t="s">
        <v>20</v>
      </c>
      <c r="C13" s="567">
        <v>1.19</v>
      </c>
      <c r="D13" s="575">
        <v>1.0900000000000001</v>
      </c>
      <c r="E13" s="575">
        <v>0.93</v>
      </c>
      <c r="F13" s="568">
        <v>1</v>
      </c>
      <c r="G13" s="569">
        <v>3705571.72</v>
      </c>
      <c r="H13" s="569">
        <v>5233719.38</v>
      </c>
      <c r="I13" s="578">
        <v>0</v>
      </c>
      <c r="J13" s="509">
        <f t="shared" si="0"/>
        <v>523371.93799999997</v>
      </c>
      <c r="K13" s="510"/>
      <c r="L13" s="514" t="s">
        <v>218</v>
      </c>
      <c r="M13" s="522">
        <v>1</v>
      </c>
      <c r="N13" s="570"/>
      <c r="O13" s="571"/>
      <c r="P13" s="581">
        <v>1</v>
      </c>
    </row>
    <row r="14" spans="1:16" ht="35.1" customHeight="1" thickBot="1" x14ac:dyDescent="0.55000000000000004">
      <c r="A14">
        <v>5</v>
      </c>
      <c r="B14" s="516" t="s">
        <v>22</v>
      </c>
      <c r="C14" s="567">
        <v>1.34</v>
      </c>
      <c r="D14" s="575">
        <v>1.1000000000000001</v>
      </c>
      <c r="E14" s="575">
        <v>0.83</v>
      </c>
      <c r="F14" s="568">
        <v>1</v>
      </c>
      <c r="G14" s="569">
        <v>4212575.9000000004</v>
      </c>
      <c r="H14" s="569">
        <v>6897746.8899999997</v>
      </c>
      <c r="I14" s="578">
        <v>0</v>
      </c>
      <c r="J14" s="509">
        <f t="shared" si="0"/>
        <v>689774.68900000001</v>
      </c>
      <c r="K14" s="510"/>
      <c r="L14" s="514" t="s">
        <v>218</v>
      </c>
      <c r="M14" s="527">
        <v>1</v>
      </c>
      <c r="N14" s="570"/>
      <c r="O14" s="571"/>
      <c r="P14" s="581">
        <v>1</v>
      </c>
    </row>
    <row r="15" spans="1:16" ht="35.1" customHeight="1" thickBot="1" x14ac:dyDescent="0.55000000000000004">
      <c r="A15">
        <v>9</v>
      </c>
      <c r="B15" s="516" t="s">
        <v>24</v>
      </c>
      <c r="C15" s="575">
        <v>1.57</v>
      </c>
      <c r="D15" s="575">
        <v>1.39</v>
      </c>
      <c r="E15" s="575">
        <v>1.1399999999999999</v>
      </c>
      <c r="F15" s="578">
        <v>0</v>
      </c>
      <c r="G15" s="569">
        <v>3752293.34</v>
      </c>
      <c r="H15" s="60">
        <v>-4283214.07</v>
      </c>
      <c r="I15" s="568">
        <v>1</v>
      </c>
      <c r="J15" s="509">
        <f t="shared" si="0"/>
        <v>-428321.40700000001</v>
      </c>
      <c r="K15" s="510">
        <v>8.76</v>
      </c>
      <c r="L15" s="514" t="s">
        <v>218</v>
      </c>
      <c r="M15" s="519">
        <v>1</v>
      </c>
      <c r="N15" s="570"/>
      <c r="O15" s="571"/>
      <c r="P15" s="581">
        <v>1</v>
      </c>
    </row>
    <row r="16" spans="1:16" ht="35.1" customHeight="1" thickBot="1" x14ac:dyDescent="0.55000000000000004">
      <c r="A16">
        <v>12</v>
      </c>
      <c r="B16" s="516" t="s">
        <v>26</v>
      </c>
      <c r="C16" s="567">
        <v>1.34</v>
      </c>
      <c r="D16" s="575">
        <v>1.21</v>
      </c>
      <c r="E16" s="575">
        <v>0.98</v>
      </c>
      <c r="F16" s="568">
        <v>1</v>
      </c>
      <c r="G16" s="569">
        <v>4632982.03</v>
      </c>
      <c r="H16" s="569">
        <v>7406094.2400000002</v>
      </c>
      <c r="I16" s="578">
        <v>0</v>
      </c>
      <c r="J16" s="509">
        <f t="shared" si="0"/>
        <v>740609.424</v>
      </c>
      <c r="K16" s="510"/>
      <c r="L16" s="514" t="s">
        <v>218</v>
      </c>
      <c r="M16" s="524">
        <v>1</v>
      </c>
      <c r="N16" s="570"/>
      <c r="O16" s="580"/>
      <c r="P16" s="581">
        <v>1</v>
      </c>
    </row>
    <row r="17" spans="1:16" ht="35.1" customHeight="1" thickBot="1" x14ac:dyDescent="0.55000000000000004">
      <c r="A17">
        <v>16</v>
      </c>
      <c r="B17" s="506" t="s">
        <v>12</v>
      </c>
      <c r="C17" s="575">
        <v>3.56</v>
      </c>
      <c r="D17" s="575">
        <v>3.44</v>
      </c>
      <c r="E17" s="575">
        <v>2.23</v>
      </c>
      <c r="F17" s="578">
        <v>0</v>
      </c>
      <c r="G17" s="569">
        <v>555212506.71000004</v>
      </c>
      <c r="H17" s="569">
        <v>59464547.450000003</v>
      </c>
      <c r="I17" s="578">
        <v>0</v>
      </c>
      <c r="J17" s="509">
        <f t="shared" si="0"/>
        <v>5946454.7450000001</v>
      </c>
      <c r="K17" s="510"/>
      <c r="L17" s="514" t="s">
        <v>218</v>
      </c>
      <c r="M17" s="529">
        <v>0</v>
      </c>
      <c r="N17" s="570"/>
      <c r="O17" s="571"/>
      <c r="P17" s="576">
        <v>4</v>
      </c>
    </row>
    <row r="18" spans="1:16" ht="35.1" customHeight="1" thickBot="1" x14ac:dyDescent="0.55000000000000004">
      <c r="A18">
        <v>15</v>
      </c>
      <c r="B18" s="516" t="s">
        <v>17</v>
      </c>
      <c r="C18" s="575">
        <v>1.59</v>
      </c>
      <c r="D18" s="575">
        <v>1.35</v>
      </c>
      <c r="E18" s="575">
        <v>1.22</v>
      </c>
      <c r="F18" s="578">
        <v>0</v>
      </c>
      <c r="G18" s="569">
        <v>8352487.3099999996</v>
      </c>
      <c r="H18" s="569">
        <v>5824064.7199999997</v>
      </c>
      <c r="I18" s="578">
        <v>0</v>
      </c>
      <c r="J18" s="509">
        <f t="shared" si="0"/>
        <v>582406.47199999995</v>
      </c>
      <c r="K18" s="510"/>
      <c r="L18" s="514" t="s">
        <v>218</v>
      </c>
      <c r="M18" s="520">
        <v>0</v>
      </c>
      <c r="N18" s="570"/>
      <c r="O18" s="571"/>
      <c r="P18" s="576">
        <v>4</v>
      </c>
    </row>
    <row r="19" spans="1:16" ht="35.1" customHeight="1" thickBot="1" x14ac:dyDescent="0.55000000000000004">
      <c r="A19">
        <v>1</v>
      </c>
      <c r="B19" s="516" t="s">
        <v>18</v>
      </c>
      <c r="C19" s="575">
        <v>2.62</v>
      </c>
      <c r="D19" s="575">
        <v>2.42</v>
      </c>
      <c r="E19" s="575">
        <v>1.7</v>
      </c>
      <c r="F19" s="578">
        <v>0</v>
      </c>
      <c r="G19" s="569">
        <v>49166274.109999999</v>
      </c>
      <c r="H19" s="569">
        <v>23599432.829999998</v>
      </c>
      <c r="I19" s="578">
        <v>0</v>
      </c>
      <c r="J19" s="509">
        <f t="shared" si="0"/>
        <v>2359943.2829999998</v>
      </c>
      <c r="K19" s="510"/>
      <c r="L19" s="514" t="s">
        <v>218</v>
      </c>
      <c r="M19" s="529">
        <v>0</v>
      </c>
      <c r="N19" s="573"/>
      <c r="O19" s="580"/>
      <c r="P19" s="584">
        <v>0</v>
      </c>
    </row>
    <row r="20" spans="1:16" ht="35.1" customHeight="1" thickBot="1" x14ac:dyDescent="0.55000000000000004">
      <c r="A20">
        <v>7</v>
      </c>
      <c r="B20" s="516" t="s">
        <v>23</v>
      </c>
      <c r="C20" s="575">
        <v>2.25</v>
      </c>
      <c r="D20" s="575">
        <v>1.85</v>
      </c>
      <c r="E20" s="575">
        <v>1.62</v>
      </c>
      <c r="F20" s="578">
        <v>0</v>
      </c>
      <c r="G20" s="569">
        <v>45891259.049999997</v>
      </c>
      <c r="H20" s="569">
        <v>4822774.63</v>
      </c>
      <c r="I20" s="578">
        <v>0</v>
      </c>
      <c r="J20" s="509">
        <f t="shared" si="0"/>
        <v>482277.46299999999</v>
      </c>
      <c r="K20" s="510"/>
      <c r="L20" s="514" t="s">
        <v>218</v>
      </c>
      <c r="M20" s="522">
        <v>0</v>
      </c>
      <c r="N20" s="573"/>
      <c r="O20" s="580"/>
      <c r="P20" s="584">
        <v>0</v>
      </c>
    </row>
    <row r="21" spans="1:16" ht="9" customHeight="1" x14ac:dyDescent="0.45">
      <c r="C21" s="12"/>
      <c r="D21" s="12"/>
      <c r="E21" s="12"/>
      <c r="F21" s="12"/>
      <c r="G21" s="585"/>
      <c r="H21" s="585"/>
      <c r="I21" s="12"/>
      <c r="K21" s="13"/>
      <c r="L21" s="13"/>
      <c r="M21" s="13"/>
    </row>
    <row r="22" spans="1:16" ht="22.5" customHeight="1" x14ac:dyDescent="0.55000000000000004">
      <c r="B22" s="14"/>
      <c r="C22" s="15"/>
      <c r="D22" s="15"/>
      <c r="E22" s="15"/>
      <c r="F22" s="15"/>
      <c r="G22" s="16"/>
      <c r="H22" s="16"/>
      <c r="I22" s="16"/>
      <c r="J22" s="17" t="s">
        <v>28</v>
      </c>
      <c r="K22" s="18"/>
      <c r="L22" s="18"/>
      <c r="M22" s="18"/>
    </row>
    <row r="23" spans="1:16" ht="26.25" x14ac:dyDescent="0.55000000000000004">
      <c r="B23" s="495" t="s">
        <v>29</v>
      </c>
      <c r="C23" s="16"/>
      <c r="D23" s="16"/>
      <c r="E23" s="16"/>
      <c r="F23" s="16"/>
      <c r="G23" s="16"/>
      <c r="H23" s="16"/>
      <c r="I23" s="16"/>
      <c r="J23" s="23" t="s">
        <v>30</v>
      </c>
      <c r="K23" s="643" t="s">
        <v>31</v>
      </c>
      <c r="L23" s="643"/>
      <c r="M23" s="643"/>
    </row>
    <row r="24" spans="1:16" ht="26.25" x14ac:dyDescent="0.55000000000000004">
      <c r="B24" s="495"/>
      <c r="C24" s="16"/>
      <c r="D24" s="16"/>
      <c r="E24" s="16"/>
      <c r="F24" s="16"/>
      <c r="G24" s="16"/>
      <c r="H24" s="16"/>
      <c r="I24" s="16"/>
      <c r="J24" s="27" t="s">
        <v>33</v>
      </c>
      <c r="K24" s="643"/>
      <c r="L24" s="643"/>
      <c r="M24" s="643"/>
    </row>
    <row r="25" spans="1:16" ht="26.25" customHeight="1" x14ac:dyDescent="0.55000000000000004">
      <c r="B25" s="28" t="s">
        <v>35</v>
      </c>
      <c r="C25" s="16"/>
      <c r="D25" s="16"/>
      <c r="E25" s="16"/>
      <c r="F25" s="16"/>
      <c r="G25" s="16"/>
      <c r="H25" s="16"/>
      <c r="I25" s="16"/>
      <c r="J25" s="29" t="s">
        <v>219</v>
      </c>
      <c r="K25" s="643" t="s">
        <v>31</v>
      </c>
      <c r="L25" s="643"/>
      <c r="M25" s="643"/>
    </row>
    <row r="26" spans="1:16" ht="26.25" x14ac:dyDescent="0.55000000000000004">
      <c r="B26" s="495"/>
      <c r="C26" s="16"/>
      <c r="D26" s="16"/>
      <c r="E26" s="16"/>
      <c r="F26" s="16"/>
      <c r="G26" s="16"/>
      <c r="H26" s="16"/>
      <c r="I26" s="16"/>
      <c r="J26" s="27" t="s">
        <v>33</v>
      </c>
      <c r="K26" s="643"/>
      <c r="L26" s="643"/>
      <c r="M26" s="643"/>
    </row>
    <row r="27" spans="1:16" ht="26.25" x14ac:dyDescent="0.55000000000000004">
      <c r="B27" s="495" t="s">
        <v>38</v>
      </c>
      <c r="C27" s="16"/>
      <c r="D27" s="16"/>
      <c r="E27" s="16"/>
      <c r="F27" s="16"/>
      <c r="G27" s="16"/>
      <c r="H27" s="27" t="s">
        <v>39</v>
      </c>
      <c r="I27" s="586"/>
      <c r="J27" s="646" t="s">
        <v>31</v>
      </c>
      <c r="K27" s="646"/>
      <c r="L27" s="494"/>
      <c r="M27" s="494"/>
    </row>
    <row r="28" spans="1:16" ht="26.25" x14ac:dyDescent="0.55000000000000004">
      <c r="B28" s="35" t="s">
        <v>41</v>
      </c>
      <c r="C28" s="16"/>
      <c r="D28" s="16"/>
      <c r="E28" s="16"/>
      <c r="F28" s="16"/>
      <c r="G28" s="16"/>
      <c r="H28" s="36" t="s">
        <v>220</v>
      </c>
      <c r="I28" s="587"/>
      <c r="J28" s="37"/>
      <c r="K28" s="38"/>
      <c r="L28" s="38"/>
      <c r="M28" s="38"/>
    </row>
    <row r="29" spans="1:16" ht="11.25" customHeight="1" x14ac:dyDescent="0.55000000000000004">
      <c r="H29" s="16"/>
      <c r="I29" s="16"/>
      <c r="J29" s="39"/>
      <c r="K29" s="40"/>
      <c r="L29" s="40"/>
      <c r="M29" s="40"/>
    </row>
    <row r="30" spans="1:16" ht="23.25" customHeight="1" x14ac:dyDescent="0.55000000000000004">
      <c r="B30" s="39"/>
      <c r="C30" s="16"/>
      <c r="D30" s="16"/>
      <c r="E30" s="16"/>
      <c r="F30" s="16"/>
      <c r="G30" s="16"/>
      <c r="H30" s="16"/>
      <c r="I30" s="16"/>
      <c r="J30" s="23" t="s">
        <v>221</v>
      </c>
      <c r="K30" s="643" t="s">
        <v>31</v>
      </c>
      <c r="L30" s="643"/>
      <c r="M30" s="643"/>
    </row>
    <row r="31" spans="1:16" ht="21.75" customHeight="1" x14ac:dyDescent="0.55000000000000004">
      <c r="B31" s="39"/>
      <c r="C31" s="16"/>
      <c r="D31" s="16"/>
      <c r="E31" s="16"/>
      <c r="F31" s="16"/>
      <c r="G31" s="16"/>
      <c r="H31" s="16"/>
      <c r="I31" s="16"/>
      <c r="J31" s="27" t="s">
        <v>33</v>
      </c>
      <c r="K31" s="643"/>
      <c r="L31" s="643"/>
      <c r="M31" s="643"/>
    </row>
    <row r="32" spans="1:16" ht="26.25" x14ac:dyDescent="0.55000000000000004">
      <c r="B32" s="42" t="s">
        <v>222</v>
      </c>
      <c r="C32" s="16"/>
      <c r="D32" s="16"/>
      <c r="E32" s="16"/>
      <c r="F32" s="16"/>
      <c r="G32" s="16"/>
      <c r="H32" s="43"/>
      <c r="I32" s="43"/>
      <c r="J32" s="39"/>
      <c r="K32" s="40"/>
      <c r="L32" s="40"/>
      <c r="M32" s="40"/>
    </row>
    <row r="33" spans="2:13" ht="26.25" x14ac:dyDescent="0.55000000000000004">
      <c r="B33" s="495" t="s">
        <v>46</v>
      </c>
      <c r="C33" s="16"/>
      <c r="D33" s="16"/>
      <c r="E33" s="16"/>
      <c r="F33" s="16"/>
      <c r="G33" s="16"/>
      <c r="H33" s="16"/>
      <c r="I33" s="16"/>
      <c r="J33" s="39"/>
      <c r="K33" s="40"/>
      <c r="L33" s="40"/>
      <c r="M33" s="40"/>
    </row>
    <row r="34" spans="2:13" ht="26.25" x14ac:dyDescent="0.55000000000000004">
      <c r="B34" s="42" t="s">
        <v>223</v>
      </c>
      <c r="C34" s="16"/>
      <c r="D34" s="16"/>
      <c r="E34" s="16"/>
      <c r="F34" s="16"/>
      <c r="G34" s="16"/>
      <c r="H34" s="16"/>
      <c r="I34" s="16"/>
      <c r="J34" s="39"/>
      <c r="K34" s="40"/>
      <c r="L34" s="40"/>
      <c r="M34" s="40"/>
    </row>
    <row r="35" spans="2:13" ht="26.25" x14ac:dyDescent="0.55000000000000004">
      <c r="B35" s="42" t="s">
        <v>224</v>
      </c>
      <c r="C35" s="16"/>
      <c r="D35" s="16"/>
      <c r="E35" s="16"/>
      <c r="F35" s="16"/>
      <c r="G35" s="16"/>
      <c r="H35" s="16"/>
      <c r="I35" s="16"/>
      <c r="J35" s="39"/>
      <c r="K35" s="40"/>
      <c r="L35" s="40"/>
      <c r="M35" s="40"/>
    </row>
    <row r="36" spans="2:13" ht="26.25" x14ac:dyDescent="0.55000000000000004">
      <c r="B36" s="42" t="s">
        <v>225</v>
      </c>
      <c r="C36" s="16"/>
      <c r="D36" s="495"/>
      <c r="E36" s="44"/>
      <c r="F36" s="44"/>
      <c r="G36" s="44"/>
      <c r="H36" s="44"/>
      <c r="I36" s="44"/>
      <c r="J36" s="45"/>
      <c r="K36" s="40"/>
      <c r="L36" s="40"/>
      <c r="M36" s="40"/>
    </row>
    <row r="37" spans="2:13" ht="26.25" x14ac:dyDescent="0.55000000000000004">
      <c r="B37" s="39"/>
      <c r="C37" s="16"/>
      <c r="D37" s="495" t="s">
        <v>50</v>
      </c>
      <c r="E37" s="16"/>
      <c r="F37" s="16"/>
      <c r="G37" s="16"/>
      <c r="H37" s="16"/>
      <c r="I37" s="16"/>
      <c r="J37" s="39"/>
      <c r="K37" s="40"/>
      <c r="L37" s="40"/>
      <c r="M37" s="40"/>
    </row>
    <row r="38" spans="2:13" ht="26.25" x14ac:dyDescent="0.55000000000000004">
      <c r="B38" s="39"/>
      <c r="C38" s="16"/>
      <c r="D38" s="495" t="s">
        <v>51</v>
      </c>
      <c r="E38" s="16"/>
      <c r="F38" s="16"/>
      <c r="G38" s="16"/>
      <c r="H38" s="16"/>
      <c r="I38" s="16"/>
      <c r="J38" s="39"/>
      <c r="K38" s="40"/>
      <c r="L38" s="40"/>
      <c r="M38" s="40"/>
    </row>
    <row r="39" spans="2:13" ht="26.25" x14ac:dyDescent="0.55000000000000004">
      <c r="B39" s="39"/>
      <c r="C39" s="16"/>
      <c r="D39" s="495" t="s">
        <v>52</v>
      </c>
      <c r="E39" s="16"/>
      <c r="F39" s="16"/>
      <c r="G39" s="16"/>
      <c r="H39" s="16"/>
      <c r="I39" s="16"/>
      <c r="J39" s="39"/>
      <c r="K39" s="40"/>
      <c r="L39" s="40"/>
      <c r="M39" s="40"/>
    </row>
    <row r="40" spans="2:13" ht="26.25" x14ac:dyDescent="0.55000000000000004">
      <c r="B40" s="41" t="s">
        <v>53</v>
      </c>
      <c r="C40" s="16"/>
      <c r="D40" s="16"/>
      <c r="E40" s="16"/>
      <c r="F40" s="16"/>
      <c r="G40" s="16"/>
      <c r="H40" s="16"/>
      <c r="I40" s="16"/>
      <c r="J40" s="39"/>
      <c r="K40" s="40"/>
      <c r="L40" s="40"/>
      <c r="M40" s="40"/>
    </row>
    <row r="41" spans="2:13" ht="26.25" x14ac:dyDescent="0.55000000000000004">
      <c r="B41" s="42" t="s">
        <v>226</v>
      </c>
      <c r="C41" s="16"/>
      <c r="D41" s="16"/>
      <c r="E41" s="16"/>
      <c r="F41" s="16"/>
      <c r="G41" s="16"/>
      <c r="H41" s="16"/>
      <c r="I41" s="16"/>
      <c r="J41" s="39"/>
      <c r="K41" s="40"/>
      <c r="L41" s="40"/>
      <c r="M41" s="40"/>
    </row>
    <row r="42" spans="2:13" s="47" customFormat="1" ht="26.25" x14ac:dyDescent="0.55000000000000004">
      <c r="B42" s="16"/>
      <c r="C42" s="16"/>
      <c r="D42" s="16"/>
      <c r="E42" s="16"/>
      <c r="F42" s="16"/>
      <c r="G42" s="16"/>
      <c r="H42" s="46"/>
      <c r="I42" s="46"/>
      <c r="J42" s="46"/>
    </row>
    <row r="46" spans="2:13" ht="23.25" x14ac:dyDescent="0.5">
      <c r="B46" s="48"/>
      <c r="C46" s="49"/>
      <c r="D46" s="49"/>
      <c r="E46" s="50"/>
      <c r="F46" s="50"/>
      <c r="G46" s="51"/>
      <c r="H46" s="52"/>
      <c r="I46" s="52"/>
      <c r="J46" s="52"/>
      <c r="K46" s="53"/>
      <c r="L46" s="53"/>
      <c r="M46" s="53"/>
    </row>
  </sheetData>
  <mergeCells count="22">
    <mergeCell ref="K30:M31"/>
    <mergeCell ref="I3:I4"/>
    <mergeCell ref="J3:J4"/>
    <mergeCell ref="K3:K4"/>
    <mergeCell ref="B1:M1"/>
    <mergeCell ref="B2:B4"/>
    <mergeCell ref="C2:F2"/>
    <mergeCell ref="G2:I2"/>
    <mergeCell ref="J2:L2"/>
    <mergeCell ref="M2:M4"/>
    <mergeCell ref="L3:L4"/>
    <mergeCell ref="C3:C4"/>
    <mergeCell ref="D3:D4"/>
    <mergeCell ref="E3:E4"/>
    <mergeCell ref="F3:F4"/>
    <mergeCell ref="G3:G4"/>
    <mergeCell ref="J27:K27"/>
    <mergeCell ref="H3:H4"/>
    <mergeCell ref="O2:O4"/>
    <mergeCell ref="N3:N4"/>
    <mergeCell ref="K23:M24"/>
    <mergeCell ref="K25:M26"/>
  </mergeCells>
  <conditionalFormatting sqref="M5:M20">
    <cfRule type="colorScale" priority="4">
      <colorScale>
        <cfvo type="min"/>
        <cfvo type="max"/>
        <color rgb="FFFCFCFF"/>
        <color rgb="FFF8696B"/>
      </colorScale>
    </cfRule>
  </conditionalFormatting>
  <conditionalFormatting sqref="M5">
    <cfRule type="colorScale" priority="3">
      <colorScale>
        <cfvo type="min"/>
        <cfvo type="max"/>
        <color rgb="FFFCFCFF"/>
        <color rgb="FFF8696B"/>
      </colorScale>
    </cfRule>
  </conditionalFormatting>
  <conditionalFormatting sqref="M5:M20">
    <cfRule type="colorScale" priority="2">
      <colorScale>
        <cfvo type="min"/>
        <cfvo type="max"/>
        <color rgb="FFFCFCFF"/>
        <color rgb="FFF8696B"/>
      </colorScale>
    </cfRule>
  </conditionalFormatting>
  <conditionalFormatting sqref="M5:M20">
    <cfRule type="colorScale" priority="1">
      <colorScale>
        <cfvo type="min"/>
        <cfvo type="max"/>
        <color rgb="FFFCFCFF"/>
        <color rgb="FFF8696B"/>
      </colorScale>
    </cfRule>
  </conditionalFormatting>
  <pageMargins left="0.31496062992125984" right="0.31496062992125984" top="0" bottom="0" header="0.31496062992125984" footer="0.31496062992125984"/>
  <pageSetup paperSize="9" scale="4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opLeftCell="A13" zoomScale="70" zoomScaleNormal="70" workbookViewId="0">
      <pane ySplit="2565" activePane="bottomLeft"/>
      <selection activeCell="O7" sqref="O7:P7"/>
      <selection pane="bottomLeft" activeCell="F32" sqref="F32"/>
    </sheetView>
  </sheetViews>
  <sheetFormatPr defaultRowHeight="21" x14ac:dyDescent="0.35"/>
  <cols>
    <col min="1" max="1" width="23.375" style="12" customWidth="1"/>
    <col min="2" max="2" width="11.25" style="12" bestFit="1" customWidth="1"/>
    <col min="3" max="3" width="12.25" style="12" customWidth="1"/>
    <col min="4" max="4" width="12.5" style="12" customWidth="1"/>
    <col min="5" max="5" width="19.5" style="12" customWidth="1"/>
    <col min="6" max="6" width="19.25" style="12" customWidth="1"/>
    <col min="7" max="7" width="21.375" style="12" customWidth="1"/>
    <col min="8" max="8" width="12.25" style="12" customWidth="1"/>
    <col min="9" max="9" width="10.375" style="12" customWidth="1"/>
    <col min="10" max="10" width="8.375" style="12" customWidth="1"/>
    <col min="11" max="11" width="8.875" style="12" customWidth="1"/>
    <col min="12" max="12" width="9.75" style="12" customWidth="1"/>
    <col min="13" max="13" width="11.5" style="12" hidden="1" customWidth="1"/>
    <col min="14" max="14" width="11.5" style="12" customWidth="1"/>
    <col min="15" max="15" width="15.75" style="12" customWidth="1"/>
    <col min="16" max="16" width="15.625" style="12" customWidth="1"/>
    <col min="17" max="17" width="19" style="12" customWidth="1"/>
    <col min="18" max="18" width="13.625" style="12" customWidth="1"/>
    <col min="19" max="19" width="17.625" style="12" customWidth="1"/>
    <col min="20" max="20" width="16.625" style="12" customWidth="1"/>
    <col min="21" max="21" width="13.625" style="12" customWidth="1"/>
    <col min="22" max="22" width="16.125" style="12" customWidth="1"/>
    <col min="23" max="23" width="13.25" style="12" customWidth="1"/>
    <col min="24" max="24" width="15.75" style="12" customWidth="1"/>
    <col min="25" max="16384" width="9" style="12"/>
  </cols>
  <sheetData>
    <row r="1" spans="1:24" ht="41.25" customHeight="1" thickBot="1" x14ac:dyDescent="0.5">
      <c r="A1" s="562" t="s">
        <v>214</v>
      </c>
      <c r="E1" s="84"/>
      <c r="H1" s="85" t="s">
        <v>0</v>
      </c>
    </row>
    <row r="2" spans="1:24" ht="105.75" customHeight="1" x14ac:dyDescent="0.35">
      <c r="A2" s="688" t="s">
        <v>1</v>
      </c>
      <c r="B2" s="688" t="s">
        <v>2</v>
      </c>
      <c r="C2" s="688" t="s">
        <v>3</v>
      </c>
      <c r="D2" s="688" t="s">
        <v>4</v>
      </c>
      <c r="E2" s="691" t="s">
        <v>5</v>
      </c>
      <c r="F2" s="688" t="s">
        <v>6</v>
      </c>
      <c r="G2" s="695" t="s">
        <v>7</v>
      </c>
      <c r="H2" s="497" t="s">
        <v>8</v>
      </c>
      <c r="I2" s="688" t="s">
        <v>9</v>
      </c>
      <c r="J2" s="688" t="s">
        <v>10</v>
      </c>
      <c r="K2" s="688" t="s">
        <v>11</v>
      </c>
      <c r="L2" s="681" t="s">
        <v>66</v>
      </c>
      <c r="M2" s="743" t="s">
        <v>67</v>
      </c>
      <c r="N2" s="593" t="s">
        <v>239</v>
      </c>
      <c r="P2" s="588" t="s">
        <v>236</v>
      </c>
      <c r="Q2" s="588" t="s">
        <v>234</v>
      </c>
      <c r="R2" s="588" t="s">
        <v>230</v>
      </c>
      <c r="S2" s="588" t="s">
        <v>229</v>
      </c>
      <c r="T2" s="588" t="s">
        <v>231</v>
      </c>
      <c r="U2" s="588" t="s">
        <v>232</v>
      </c>
      <c r="V2" s="588" t="s">
        <v>233</v>
      </c>
      <c r="W2" s="589" t="s">
        <v>227</v>
      </c>
      <c r="X2" s="588" t="s">
        <v>228</v>
      </c>
    </row>
    <row r="3" spans="1:24" ht="49.5" customHeight="1" thickBot="1" x14ac:dyDescent="0.4">
      <c r="A3" s="690"/>
      <c r="B3" s="690"/>
      <c r="C3" s="690"/>
      <c r="D3" s="690"/>
      <c r="E3" s="692"/>
      <c r="F3" s="690"/>
      <c r="G3" s="696"/>
      <c r="H3" s="498"/>
      <c r="I3" s="689"/>
      <c r="J3" s="689"/>
      <c r="K3" s="689"/>
      <c r="L3" s="682"/>
      <c r="M3" s="744"/>
      <c r="N3" s="593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35.1" customHeight="1" thickBot="1" x14ac:dyDescent="0.5">
      <c r="A4" s="129" t="s">
        <v>12</v>
      </c>
      <c r="B4" s="130">
        <v>3.28</v>
      </c>
      <c r="C4" s="130">
        <v>3.14</v>
      </c>
      <c r="D4" s="130">
        <v>2</v>
      </c>
      <c r="E4" s="560">
        <v>541880786.83000004</v>
      </c>
      <c r="F4" s="130">
        <v>52102231.25</v>
      </c>
      <c r="G4" s="131"/>
      <c r="H4" s="132"/>
      <c r="I4" s="564">
        <v>0</v>
      </c>
      <c r="J4" s="138">
        <v>0</v>
      </c>
      <c r="K4" s="138">
        <v>0</v>
      </c>
      <c r="L4" s="138">
        <f>SUM(I4:K4)</f>
        <v>0</v>
      </c>
      <c r="M4" s="242">
        <v>0</v>
      </c>
      <c r="N4" s="594" t="str">
        <f>X4</f>
        <v>C</v>
      </c>
      <c r="O4" s="592" t="s">
        <v>12</v>
      </c>
      <c r="P4" s="590">
        <v>-5.77</v>
      </c>
      <c r="Q4" s="590">
        <v>4.21</v>
      </c>
      <c r="R4" s="590">
        <v>55.49</v>
      </c>
      <c r="S4" s="590">
        <v>201.43</v>
      </c>
      <c r="T4" s="590">
        <v>120.61</v>
      </c>
      <c r="U4" s="590">
        <v>132.81</v>
      </c>
      <c r="V4" s="590">
        <v>1.86</v>
      </c>
      <c r="W4" s="590">
        <v>3</v>
      </c>
      <c r="X4" s="590" t="s">
        <v>200</v>
      </c>
    </row>
    <row r="5" spans="1:24" ht="35.1" customHeight="1" thickBot="1" x14ac:dyDescent="0.5">
      <c r="A5" s="129" t="s">
        <v>13</v>
      </c>
      <c r="B5" s="135">
        <v>1.1499999999999999</v>
      </c>
      <c r="C5" s="135">
        <v>0.95</v>
      </c>
      <c r="D5" s="135">
        <v>0.57999999999999996</v>
      </c>
      <c r="E5" s="130">
        <v>13653857.960000001</v>
      </c>
      <c r="F5" s="135">
        <v>-18511434.16</v>
      </c>
      <c r="G5" s="131">
        <f t="shared" ref="G5:G17" si="0">SUM(F5/11)</f>
        <v>-1682857.6509090909</v>
      </c>
      <c r="H5" s="132">
        <f t="shared" ref="H5:H19" si="1">SUM(E5/G5)</f>
        <v>-8.1134954894278177</v>
      </c>
      <c r="I5" s="564">
        <v>3</v>
      </c>
      <c r="J5" s="138">
        <v>1</v>
      </c>
      <c r="K5" s="138">
        <v>0</v>
      </c>
      <c r="L5" s="138">
        <f t="shared" ref="L5:L18" si="2">SUM(I5:K5)</f>
        <v>4</v>
      </c>
      <c r="M5" s="221">
        <v>2</v>
      </c>
      <c r="N5" s="594" t="str">
        <f t="shared" ref="N5:N19" si="3">X5</f>
        <v>D</v>
      </c>
      <c r="O5" s="592" t="s">
        <v>13</v>
      </c>
      <c r="P5" s="590">
        <v>-22.87</v>
      </c>
      <c r="Q5" s="590">
        <v>-4.92</v>
      </c>
      <c r="R5" s="590">
        <v>2141.2199999999998</v>
      </c>
      <c r="S5" s="590">
        <v>212.18</v>
      </c>
      <c r="T5" s="590">
        <v>91.9</v>
      </c>
      <c r="U5" s="590">
        <v>211.49</v>
      </c>
      <c r="V5" s="590">
        <v>21.77</v>
      </c>
      <c r="W5" s="590">
        <v>1</v>
      </c>
      <c r="X5" s="590" t="s">
        <v>201</v>
      </c>
    </row>
    <row r="6" spans="1:24" ht="35.1" customHeight="1" thickBot="1" x14ac:dyDescent="0.5">
      <c r="A6" s="129" t="s">
        <v>14</v>
      </c>
      <c r="B6" s="135">
        <v>1.1200000000000001</v>
      </c>
      <c r="C6" s="130">
        <v>1.03</v>
      </c>
      <c r="D6" s="130">
        <v>0.81</v>
      </c>
      <c r="E6" s="130">
        <v>3020214.76</v>
      </c>
      <c r="F6" s="130">
        <v>2597799.81</v>
      </c>
      <c r="G6" s="131"/>
      <c r="H6" s="132"/>
      <c r="I6" s="564">
        <v>1</v>
      </c>
      <c r="J6" s="138">
        <v>0</v>
      </c>
      <c r="K6" s="138">
        <v>0</v>
      </c>
      <c r="L6" s="138">
        <f t="shared" si="2"/>
        <v>1</v>
      </c>
      <c r="M6" s="221">
        <v>3</v>
      </c>
      <c r="N6" s="594" t="str">
        <f t="shared" si="3"/>
        <v>B-</v>
      </c>
      <c r="O6" s="592" t="s">
        <v>14</v>
      </c>
      <c r="P6" s="590">
        <v>-2.8</v>
      </c>
      <c r="Q6" s="590">
        <v>3.16</v>
      </c>
      <c r="R6" s="590">
        <v>1863.25</v>
      </c>
      <c r="S6" s="590">
        <v>35.01</v>
      </c>
      <c r="T6" s="590">
        <v>43.99</v>
      </c>
      <c r="U6" s="590">
        <v>225.75</v>
      </c>
      <c r="V6" s="590">
        <v>9.32</v>
      </c>
      <c r="W6" s="590">
        <v>4</v>
      </c>
      <c r="X6" s="590" t="s">
        <v>237</v>
      </c>
    </row>
    <row r="7" spans="1:24" ht="35.1" customHeight="1" thickBot="1" x14ac:dyDescent="0.5">
      <c r="A7" s="129" t="s">
        <v>15</v>
      </c>
      <c r="B7" s="135">
        <v>1.17</v>
      </c>
      <c r="C7" s="130">
        <v>1.03</v>
      </c>
      <c r="D7" s="135">
        <v>0.78</v>
      </c>
      <c r="E7" s="130">
        <v>2907630.73</v>
      </c>
      <c r="F7" s="135">
        <v>-9023677.5600000005</v>
      </c>
      <c r="G7" s="131">
        <f t="shared" si="0"/>
        <v>-820334.32363636373</v>
      </c>
      <c r="H7" s="132">
        <f t="shared" si="1"/>
        <v>-3.5444460218500975</v>
      </c>
      <c r="I7" s="564">
        <v>2</v>
      </c>
      <c r="J7" s="138">
        <v>1</v>
      </c>
      <c r="K7" s="138">
        <v>1</v>
      </c>
      <c r="L7" s="138">
        <f t="shared" si="2"/>
        <v>4</v>
      </c>
      <c r="M7" s="221">
        <v>1</v>
      </c>
      <c r="N7" s="594" t="str">
        <f t="shared" si="3"/>
        <v>D</v>
      </c>
      <c r="O7" s="592" t="s">
        <v>15</v>
      </c>
      <c r="P7" s="590">
        <v>-21.05</v>
      </c>
      <c r="Q7" s="590">
        <v>-13.36</v>
      </c>
      <c r="R7" s="590">
        <v>1863.6</v>
      </c>
      <c r="S7" s="590">
        <v>83.34</v>
      </c>
      <c r="T7" s="590">
        <v>127.48</v>
      </c>
      <c r="U7" s="590">
        <v>214.29</v>
      </c>
      <c r="V7" s="590">
        <v>0</v>
      </c>
      <c r="W7" s="590">
        <v>1</v>
      </c>
      <c r="X7" s="590" t="s">
        <v>201</v>
      </c>
    </row>
    <row r="8" spans="1:24" ht="35.1" customHeight="1" thickBot="1" x14ac:dyDescent="0.5">
      <c r="A8" s="129" t="s">
        <v>16</v>
      </c>
      <c r="B8" s="130">
        <v>2.67</v>
      </c>
      <c r="C8" s="130">
        <v>2.2400000000000002</v>
      </c>
      <c r="D8" s="130">
        <v>1.98</v>
      </c>
      <c r="E8" s="130">
        <v>13357979.23</v>
      </c>
      <c r="F8" s="135">
        <v>-2039220.59</v>
      </c>
      <c r="G8" s="131">
        <f t="shared" si="0"/>
        <v>-185383.69</v>
      </c>
      <c r="H8" s="132">
        <f t="shared" si="1"/>
        <v>-72.05584930367931</v>
      </c>
      <c r="I8" s="564">
        <v>0</v>
      </c>
      <c r="J8" s="138">
        <v>1</v>
      </c>
      <c r="K8" s="138">
        <v>0</v>
      </c>
      <c r="L8" s="138">
        <f t="shared" si="2"/>
        <v>1</v>
      </c>
      <c r="M8" s="221">
        <v>1</v>
      </c>
      <c r="N8" s="594" t="str">
        <f t="shared" si="3"/>
        <v>C-</v>
      </c>
      <c r="O8" s="592" t="s">
        <v>16</v>
      </c>
      <c r="P8" s="590">
        <v>-11.66</v>
      </c>
      <c r="Q8" s="590">
        <v>-3.09</v>
      </c>
      <c r="R8" s="590">
        <v>0</v>
      </c>
      <c r="S8" s="590">
        <v>160.94999999999999</v>
      </c>
      <c r="T8" s="590">
        <v>64.09</v>
      </c>
      <c r="U8" s="590">
        <v>81.55</v>
      </c>
      <c r="V8" s="590">
        <v>68.2</v>
      </c>
      <c r="W8" s="590">
        <v>2</v>
      </c>
      <c r="X8" s="590" t="s">
        <v>238</v>
      </c>
    </row>
    <row r="9" spans="1:24" ht="35.1" customHeight="1" thickBot="1" x14ac:dyDescent="0.5">
      <c r="A9" s="129" t="s">
        <v>17</v>
      </c>
      <c r="B9" s="130">
        <v>1.52</v>
      </c>
      <c r="C9" s="130">
        <v>1.28</v>
      </c>
      <c r="D9" s="130">
        <v>1.1499999999999999</v>
      </c>
      <c r="E9" s="130">
        <v>7204580.4299999997</v>
      </c>
      <c r="F9" s="130">
        <v>4530459.0999999996</v>
      </c>
      <c r="G9" s="131"/>
      <c r="H9" s="132"/>
      <c r="I9" s="564">
        <v>0</v>
      </c>
      <c r="J9" s="138">
        <v>0</v>
      </c>
      <c r="K9" s="138">
        <v>0</v>
      </c>
      <c r="L9" s="138">
        <f t="shared" si="2"/>
        <v>0</v>
      </c>
      <c r="M9" s="221">
        <v>2</v>
      </c>
      <c r="N9" s="594" t="str">
        <f t="shared" si="3"/>
        <v>C</v>
      </c>
      <c r="O9" s="592" t="s">
        <v>17</v>
      </c>
      <c r="P9" s="590">
        <v>0.21</v>
      </c>
      <c r="Q9" s="590">
        <v>7.13</v>
      </c>
      <c r="R9" s="590">
        <v>1831.16</v>
      </c>
      <c r="S9" s="590">
        <v>16.2</v>
      </c>
      <c r="T9" s="590">
        <v>116.75</v>
      </c>
      <c r="U9" s="590">
        <v>217.77</v>
      </c>
      <c r="V9" s="590">
        <v>838.54</v>
      </c>
      <c r="W9" s="590">
        <v>3</v>
      </c>
      <c r="X9" s="590" t="s">
        <v>200</v>
      </c>
    </row>
    <row r="10" spans="1:24" ht="35.1" customHeight="1" thickBot="1" x14ac:dyDescent="0.5">
      <c r="A10" s="129" t="s">
        <v>18</v>
      </c>
      <c r="B10" s="130">
        <v>2.39</v>
      </c>
      <c r="C10" s="130">
        <v>2.17</v>
      </c>
      <c r="D10" s="130">
        <v>1.66</v>
      </c>
      <c r="E10" s="130">
        <v>39384402.270000003</v>
      </c>
      <c r="F10" s="130">
        <v>16929967.350000001</v>
      </c>
      <c r="G10" s="131"/>
      <c r="H10" s="132"/>
      <c r="I10" s="564">
        <v>0</v>
      </c>
      <c r="J10" s="138">
        <v>0</v>
      </c>
      <c r="K10" s="138">
        <v>0</v>
      </c>
      <c r="L10" s="138">
        <f t="shared" si="2"/>
        <v>0</v>
      </c>
      <c r="M10" s="242">
        <v>0</v>
      </c>
      <c r="N10" s="594" t="str">
        <f t="shared" si="3"/>
        <v>D</v>
      </c>
      <c r="O10" s="592" t="s">
        <v>18</v>
      </c>
      <c r="P10" s="590">
        <v>-9.86</v>
      </c>
      <c r="Q10" s="590">
        <v>10.69</v>
      </c>
      <c r="R10" s="590">
        <v>752.58</v>
      </c>
      <c r="S10" s="590">
        <v>151.52000000000001</v>
      </c>
      <c r="T10" s="590">
        <v>219.66</v>
      </c>
      <c r="U10" s="590">
        <v>333.28</v>
      </c>
      <c r="V10" s="590">
        <v>2508.09</v>
      </c>
      <c r="W10" s="590">
        <v>1</v>
      </c>
      <c r="X10" s="590" t="s">
        <v>201</v>
      </c>
    </row>
    <row r="11" spans="1:24" ht="35.1" customHeight="1" thickBot="1" x14ac:dyDescent="0.5">
      <c r="A11" s="129" t="s">
        <v>19</v>
      </c>
      <c r="B11" s="135">
        <v>0.93</v>
      </c>
      <c r="C11" s="135">
        <v>0.76</v>
      </c>
      <c r="D11" s="135">
        <v>0.53</v>
      </c>
      <c r="E11" s="135">
        <v>-1408940.67</v>
      </c>
      <c r="F11" s="130">
        <v>6702255.1799999997</v>
      </c>
      <c r="G11" s="131">
        <f t="shared" si="0"/>
        <v>609295.92545454542</v>
      </c>
      <c r="H11" s="132">
        <f t="shared" si="1"/>
        <v>-2.3124078319560493</v>
      </c>
      <c r="I11" s="564">
        <v>3</v>
      </c>
      <c r="J11" s="138">
        <v>1</v>
      </c>
      <c r="K11" s="138">
        <v>2</v>
      </c>
      <c r="L11" s="138">
        <f t="shared" si="2"/>
        <v>6</v>
      </c>
      <c r="M11" s="221">
        <v>7</v>
      </c>
      <c r="N11" s="594" t="str">
        <f t="shared" si="3"/>
        <v>B-</v>
      </c>
      <c r="O11" s="592" t="s">
        <v>19</v>
      </c>
      <c r="P11" s="590">
        <v>2.71</v>
      </c>
      <c r="Q11" s="590">
        <v>8.8699999999999992</v>
      </c>
      <c r="R11" s="590">
        <v>2161.71</v>
      </c>
      <c r="S11" s="590">
        <v>48.07</v>
      </c>
      <c r="T11" s="590">
        <v>72.790000000000006</v>
      </c>
      <c r="U11" s="590">
        <v>282.29000000000002</v>
      </c>
      <c r="V11" s="590">
        <v>20.29</v>
      </c>
      <c r="W11" s="590">
        <v>4</v>
      </c>
      <c r="X11" s="590" t="s">
        <v>237</v>
      </c>
    </row>
    <row r="12" spans="1:24" ht="35.1" customHeight="1" thickBot="1" x14ac:dyDescent="0.5">
      <c r="A12" s="129" t="s">
        <v>20</v>
      </c>
      <c r="B12" s="135">
        <v>1.23</v>
      </c>
      <c r="C12" s="130">
        <v>1.1100000000000001</v>
      </c>
      <c r="D12" s="130">
        <v>0.93</v>
      </c>
      <c r="E12" s="130">
        <v>4162647.46</v>
      </c>
      <c r="F12" s="130">
        <v>17203807.539999999</v>
      </c>
      <c r="G12" s="131"/>
      <c r="H12" s="132"/>
      <c r="I12" s="564">
        <v>1</v>
      </c>
      <c r="J12" s="138">
        <v>0</v>
      </c>
      <c r="K12" s="138">
        <v>0</v>
      </c>
      <c r="L12" s="138">
        <f t="shared" si="2"/>
        <v>1</v>
      </c>
      <c r="M12" s="221">
        <v>1</v>
      </c>
      <c r="N12" s="594" t="str">
        <f t="shared" si="3"/>
        <v>C</v>
      </c>
      <c r="O12" s="592" t="s">
        <v>20</v>
      </c>
      <c r="P12" s="590">
        <v>-10.82</v>
      </c>
      <c r="Q12" s="590">
        <v>19.23</v>
      </c>
      <c r="R12" s="590">
        <v>1213.7</v>
      </c>
      <c r="S12" s="590">
        <v>45.63</v>
      </c>
      <c r="T12" s="590">
        <v>72.239999999999995</v>
      </c>
      <c r="U12" s="590">
        <v>234.74</v>
      </c>
      <c r="V12" s="590">
        <v>8.27</v>
      </c>
      <c r="W12" s="590">
        <v>3</v>
      </c>
      <c r="X12" s="590" t="s">
        <v>200</v>
      </c>
    </row>
    <row r="13" spans="1:24" ht="35.1" customHeight="1" thickBot="1" x14ac:dyDescent="0.5">
      <c r="A13" s="129" t="s">
        <v>21</v>
      </c>
      <c r="B13" s="135">
        <v>1.33</v>
      </c>
      <c r="C13" s="130">
        <v>1.1399999999999999</v>
      </c>
      <c r="D13" s="135">
        <v>0.75</v>
      </c>
      <c r="E13" s="130">
        <v>4357163.0199999996</v>
      </c>
      <c r="F13" s="135">
        <v>-4765864.42</v>
      </c>
      <c r="G13" s="131">
        <f t="shared" si="0"/>
        <v>-433260.4018181818</v>
      </c>
      <c r="H13" s="132">
        <f t="shared" si="1"/>
        <v>-10.056684159722696</v>
      </c>
      <c r="I13" s="564">
        <v>2</v>
      </c>
      <c r="J13" s="138">
        <v>1</v>
      </c>
      <c r="K13" s="138">
        <v>0</v>
      </c>
      <c r="L13" s="138">
        <f t="shared" si="2"/>
        <v>3</v>
      </c>
      <c r="M13" s="221">
        <v>2</v>
      </c>
      <c r="N13" s="594" t="str">
        <f t="shared" si="3"/>
        <v>D</v>
      </c>
      <c r="O13" s="592" t="s">
        <v>21</v>
      </c>
      <c r="P13" s="590">
        <v>-12.19</v>
      </c>
      <c r="Q13" s="590">
        <v>-6.41</v>
      </c>
      <c r="R13" s="561">
        <v>1504.75</v>
      </c>
      <c r="S13" s="590">
        <v>86.33</v>
      </c>
      <c r="T13" s="590">
        <v>97.82</v>
      </c>
      <c r="U13" s="590">
        <v>226.79</v>
      </c>
      <c r="V13" s="590">
        <v>56.05</v>
      </c>
      <c r="W13" s="590">
        <v>1</v>
      </c>
      <c r="X13" s="590" t="s">
        <v>201</v>
      </c>
    </row>
    <row r="14" spans="1:24" ht="35.1" customHeight="1" thickBot="1" x14ac:dyDescent="0.5">
      <c r="A14" s="129" t="s">
        <v>22</v>
      </c>
      <c r="B14" s="135">
        <v>1.42</v>
      </c>
      <c r="C14" s="130">
        <v>1.1200000000000001</v>
      </c>
      <c r="D14" s="130">
        <v>0.8</v>
      </c>
      <c r="E14" s="130">
        <v>4054908.84</v>
      </c>
      <c r="F14" s="130">
        <v>6330187.8399999999</v>
      </c>
      <c r="G14" s="131"/>
      <c r="H14" s="132"/>
      <c r="I14" s="564">
        <v>1</v>
      </c>
      <c r="J14" s="138">
        <v>0</v>
      </c>
      <c r="K14" s="138">
        <v>0</v>
      </c>
      <c r="L14" s="138">
        <f t="shared" si="2"/>
        <v>1</v>
      </c>
      <c r="M14" s="221">
        <v>7</v>
      </c>
      <c r="N14" s="594" t="str">
        <f t="shared" si="3"/>
        <v>B-</v>
      </c>
      <c r="O14" s="592" t="s">
        <v>22</v>
      </c>
      <c r="P14" s="590">
        <v>3.41</v>
      </c>
      <c r="Q14" s="590">
        <v>8.2100000000000009</v>
      </c>
      <c r="R14" s="590">
        <v>2647.53</v>
      </c>
      <c r="S14" s="590">
        <v>54.98</v>
      </c>
      <c r="T14" s="590">
        <v>65.84</v>
      </c>
      <c r="U14" s="590">
        <v>123.97</v>
      </c>
      <c r="V14" s="590">
        <v>45.09</v>
      </c>
      <c r="W14" s="590">
        <v>4</v>
      </c>
      <c r="X14" s="590" t="s">
        <v>237</v>
      </c>
    </row>
    <row r="15" spans="1:24" ht="35.1" customHeight="1" thickBot="1" x14ac:dyDescent="0.5">
      <c r="A15" s="129" t="s">
        <v>23</v>
      </c>
      <c r="B15" s="130">
        <v>2.3199999999999998</v>
      </c>
      <c r="C15" s="130">
        <v>1.96</v>
      </c>
      <c r="D15" s="130">
        <v>1.7</v>
      </c>
      <c r="E15" s="130">
        <v>45144497.25</v>
      </c>
      <c r="F15" s="130">
        <v>2189026</v>
      </c>
      <c r="G15" s="131"/>
      <c r="H15" s="132"/>
      <c r="I15" s="564">
        <v>0</v>
      </c>
      <c r="J15" s="138">
        <v>0</v>
      </c>
      <c r="K15" s="138">
        <v>0</v>
      </c>
      <c r="L15" s="138">
        <f t="shared" si="2"/>
        <v>0</v>
      </c>
      <c r="M15" s="221">
        <v>1</v>
      </c>
      <c r="N15" s="594" t="str">
        <f t="shared" si="3"/>
        <v>D</v>
      </c>
      <c r="O15" s="592" t="s">
        <v>23</v>
      </c>
      <c r="P15" s="590">
        <v>-14.01</v>
      </c>
      <c r="Q15" s="590">
        <v>1.92</v>
      </c>
      <c r="R15" s="590">
        <v>1685.63</v>
      </c>
      <c r="S15" s="590">
        <v>144.31</v>
      </c>
      <c r="T15" s="590">
        <v>150.91999999999999</v>
      </c>
      <c r="U15" s="590">
        <v>335.62</v>
      </c>
      <c r="V15" s="590">
        <v>136.72</v>
      </c>
      <c r="W15" s="590">
        <v>1</v>
      </c>
      <c r="X15" s="590" t="s">
        <v>201</v>
      </c>
    </row>
    <row r="16" spans="1:24" ht="35.1" customHeight="1" thickBot="1" x14ac:dyDescent="0.5">
      <c r="A16" s="129" t="s">
        <v>24</v>
      </c>
      <c r="B16" s="130">
        <v>1.5</v>
      </c>
      <c r="C16" s="130">
        <v>1.32</v>
      </c>
      <c r="D16" s="130">
        <v>1.03</v>
      </c>
      <c r="E16" s="130">
        <v>3111492.74</v>
      </c>
      <c r="F16" s="135">
        <v>-5195982.5199999996</v>
      </c>
      <c r="G16" s="131">
        <f t="shared" si="0"/>
        <v>-472362.04727272724</v>
      </c>
      <c r="H16" s="132">
        <f t="shared" si="1"/>
        <v>-6.5870930104668641</v>
      </c>
      <c r="I16" s="564">
        <v>0</v>
      </c>
      <c r="J16" s="138">
        <v>1</v>
      </c>
      <c r="K16" s="138">
        <v>0</v>
      </c>
      <c r="L16" s="138">
        <f t="shared" si="2"/>
        <v>1</v>
      </c>
      <c r="M16" s="591">
        <v>0</v>
      </c>
      <c r="N16" s="594" t="str">
        <f t="shared" si="3"/>
        <v>C</v>
      </c>
      <c r="O16" s="592" t="s">
        <v>24</v>
      </c>
      <c r="P16" s="590">
        <v>-24.8</v>
      </c>
      <c r="Q16" s="590">
        <v>-14.99</v>
      </c>
      <c r="R16" s="590">
        <v>1743.16</v>
      </c>
      <c r="S16" s="590">
        <v>26.35</v>
      </c>
      <c r="T16" s="590">
        <v>55.07</v>
      </c>
      <c r="U16" s="590">
        <v>200.04</v>
      </c>
      <c r="V16" s="590">
        <v>38</v>
      </c>
      <c r="W16" s="590">
        <v>3</v>
      </c>
      <c r="X16" s="590" t="s">
        <v>200</v>
      </c>
    </row>
    <row r="17" spans="1:24" ht="35.1" customHeight="1" thickBot="1" x14ac:dyDescent="0.5">
      <c r="A17" s="129" t="s">
        <v>25</v>
      </c>
      <c r="B17" s="135">
        <v>1.0900000000000001</v>
      </c>
      <c r="C17" s="135">
        <v>0.99</v>
      </c>
      <c r="D17" s="135">
        <v>0.56000000000000005</v>
      </c>
      <c r="E17" s="130">
        <v>1592038.93</v>
      </c>
      <c r="F17" s="135">
        <v>-2226623.2999999998</v>
      </c>
      <c r="G17" s="131">
        <f t="shared" si="0"/>
        <v>-202420.3</v>
      </c>
      <c r="H17" s="132">
        <f t="shared" si="1"/>
        <v>-7.8650161569763508</v>
      </c>
      <c r="I17" s="564">
        <v>3</v>
      </c>
      <c r="J17" s="138">
        <v>1</v>
      </c>
      <c r="K17" s="138">
        <v>0</v>
      </c>
      <c r="L17" s="138">
        <f t="shared" si="2"/>
        <v>4</v>
      </c>
      <c r="M17" s="221">
        <v>2</v>
      </c>
      <c r="N17" s="594" t="str">
        <f t="shared" si="3"/>
        <v>C-</v>
      </c>
      <c r="O17" s="592" t="s">
        <v>25</v>
      </c>
      <c r="P17" s="590">
        <v>-7.69</v>
      </c>
      <c r="Q17" s="590">
        <v>-2.44</v>
      </c>
      <c r="R17" s="590">
        <v>2463.06</v>
      </c>
      <c r="S17" s="590">
        <v>36.51</v>
      </c>
      <c r="T17" s="590">
        <v>130.08000000000001</v>
      </c>
      <c r="U17" s="590">
        <v>250.01</v>
      </c>
      <c r="V17" s="590">
        <v>4.95</v>
      </c>
      <c r="W17" s="590">
        <v>2</v>
      </c>
      <c r="X17" s="590" t="s">
        <v>238</v>
      </c>
    </row>
    <row r="18" spans="1:24" ht="35.1" customHeight="1" thickBot="1" x14ac:dyDescent="0.5">
      <c r="A18" s="129" t="s">
        <v>26</v>
      </c>
      <c r="B18" s="135">
        <v>1.3</v>
      </c>
      <c r="C18" s="563">
        <v>1.1399999999999999</v>
      </c>
      <c r="D18" s="563">
        <v>0.89</v>
      </c>
      <c r="E18" s="563">
        <v>3372507.52</v>
      </c>
      <c r="F18" s="130">
        <v>5963883.4699999997</v>
      </c>
      <c r="G18" s="131"/>
      <c r="H18" s="132"/>
      <c r="I18" s="564">
        <v>0</v>
      </c>
      <c r="J18" s="138">
        <v>0</v>
      </c>
      <c r="K18" s="138">
        <v>0</v>
      </c>
      <c r="L18" s="138">
        <f t="shared" si="2"/>
        <v>0</v>
      </c>
      <c r="M18" s="221">
        <v>4</v>
      </c>
      <c r="N18" s="594" t="str">
        <f t="shared" si="3"/>
        <v>C-</v>
      </c>
      <c r="O18" s="592" t="s">
        <v>26</v>
      </c>
      <c r="P18" s="590">
        <v>1.32</v>
      </c>
      <c r="Q18" s="590">
        <v>11.04</v>
      </c>
      <c r="R18" s="590">
        <v>1970.69</v>
      </c>
      <c r="S18" s="590">
        <v>91.13</v>
      </c>
      <c r="T18" s="590">
        <v>64.52</v>
      </c>
      <c r="U18" s="590">
        <v>245.02</v>
      </c>
      <c r="V18" s="590">
        <v>62.8</v>
      </c>
      <c r="W18" s="590">
        <v>2</v>
      </c>
      <c r="X18" s="590" t="s">
        <v>238</v>
      </c>
    </row>
    <row r="19" spans="1:24" ht="35.1" customHeight="1" thickBot="1" x14ac:dyDescent="0.5">
      <c r="A19" s="129" t="s">
        <v>27</v>
      </c>
      <c r="B19" s="135">
        <v>1.06</v>
      </c>
      <c r="C19" s="135">
        <v>0.9</v>
      </c>
      <c r="D19" s="135">
        <v>0.66</v>
      </c>
      <c r="E19" s="130">
        <v>452481.71</v>
      </c>
      <c r="F19" s="135">
        <v>-601516.01</v>
      </c>
      <c r="G19" s="131">
        <f>SUM(F19/11)</f>
        <v>-54683.273636363636</v>
      </c>
      <c r="H19" s="132">
        <f t="shared" si="1"/>
        <v>-8.2745907461382462</v>
      </c>
      <c r="I19" s="564">
        <v>3</v>
      </c>
      <c r="J19" s="138">
        <v>1</v>
      </c>
      <c r="K19" s="138">
        <v>0</v>
      </c>
      <c r="L19" s="138">
        <f>SUM(I19:K19)</f>
        <v>4</v>
      </c>
      <c r="M19" s="221">
        <v>1</v>
      </c>
      <c r="N19" s="594" t="str">
        <f t="shared" si="3"/>
        <v>F</v>
      </c>
      <c r="O19" s="592" t="s">
        <v>27</v>
      </c>
      <c r="P19" s="590">
        <v>-7.87</v>
      </c>
      <c r="Q19" s="590">
        <v>-1.42</v>
      </c>
      <c r="R19" s="590">
        <v>1165</v>
      </c>
      <c r="S19" s="590">
        <v>91.8</v>
      </c>
      <c r="T19" s="590">
        <v>66.73</v>
      </c>
      <c r="U19" s="590">
        <v>196.57</v>
      </c>
      <c r="V19" s="590">
        <v>380</v>
      </c>
      <c r="W19" s="590">
        <v>0</v>
      </c>
      <c r="X19" s="590" t="s">
        <v>235</v>
      </c>
    </row>
    <row r="20" spans="1:24" ht="33" customHeight="1" x14ac:dyDescent="0.45">
      <c r="E20" s="139">
        <f>SUM(E4:E19)</f>
        <v>686248249.01000011</v>
      </c>
      <c r="H20" s="89"/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4" ht="22.5" customHeight="1" x14ac:dyDescent="0.35">
      <c r="A21" s="90"/>
      <c r="B21" s="91"/>
      <c r="C21" s="91"/>
      <c r="D21" s="91"/>
      <c r="E21" s="84"/>
      <c r="F21" s="84"/>
      <c r="G21" s="92" t="s">
        <v>28</v>
      </c>
      <c r="H21" s="93"/>
      <c r="I21" s="94"/>
      <c r="J21" s="95"/>
      <c r="K21" s="96"/>
      <c r="L21" s="96"/>
    </row>
    <row r="22" spans="1:24" x14ac:dyDescent="0.35">
      <c r="A22" s="496" t="s">
        <v>29</v>
      </c>
      <c r="B22" s="84"/>
      <c r="C22" s="84"/>
      <c r="D22" s="84"/>
      <c r="E22" s="84"/>
      <c r="F22" s="84"/>
      <c r="G22" s="98" t="s">
        <v>30</v>
      </c>
      <c r="H22" s="685" t="s">
        <v>31</v>
      </c>
      <c r="I22" s="685"/>
      <c r="J22" s="99" t="s">
        <v>32</v>
      </c>
      <c r="K22" s="100"/>
      <c r="L22" s="101"/>
    </row>
    <row r="23" spans="1:24" x14ac:dyDescent="0.35">
      <c r="A23" s="496"/>
      <c r="B23" s="84"/>
      <c r="C23" s="84"/>
      <c r="D23" s="84"/>
      <c r="E23" s="84"/>
      <c r="F23" s="84"/>
      <c r="G23" s="102" t="s">
        <v>33</v>
      </c>
      <c r="H23" s="685"/>
      <c r="I23" s="685"/>
      <c r="J23" s="99" t="s">
        <v>34</v>
      </c>
      <c r="K23" s="100"/>
      <c r="L23" s="101"/>
    </row>
    <row r="24" spans="1:24" x14ac:dyDescent="0.35">
      <c r="A24" s="103" t="s">
        <v>35</v>
      </c>
      <c r="B24" s="84"/>
      <c r="C24" s="84"/>
      <c r="D24" s="84"/>
      <c r="E24" s="84"/>
      <c r="F24" s="84"/>
      <c r="G24" s="104" t="s">
        <v>70</v>
      </c>
      <c r="H24" s="685" t="s">
        <v>31</v>
      </c>
      <c r="I24" s="685"/>
      <c r="J24" s="686" t="s">
        <v>37</v>
      </c>
      <c r="K24" s="687"/>
      <c r="L24" s="687"/>
    </row>
    <row r="25" spans="1:24" x14ac:dyDescent="0.35">
      <c r="A25" s="496"/>
      <c r="B25" s="84"/>
      <c r="C25" s="84"/>
      <c r="D25" s="84"/>
      <c r="E25" s="84"/>
      <c r="F25" s="84"/>
      <c r="G25" s="102" t="s">
        <v>33</v>
      </c>
      <c r="H25" s="685"/>
      <c r="I25" s="685"/>
      <c r="J25" s="99" t="s">
        <v>34</v>
      </c>
      <c r="K25" s="105"/>
      <c r="L25" s="106"/>
    </row>
    <row r="26" spans="1:24" x14ac:dyDescent="0.35">
      <c r="A26" s="496" t="s">
        <v>38</v>
      </c>
      <c r="B26" s="84"/>
      <c r="C26" s="84"/>
      <c r="D26" s="84"/>
      <c r="E26" s="84"/>
      <c r="F26" s="102" t="s">
        <v>39</v>
      </c>
      <c r="G26" s="693" t="s">
        <v>31</v>
      </c>
      <c r="H26" s="693"/>
      <c r="I26" s="107" t="s">
        <v>40</v>
      </c>
      <c r="J26" s="108"/>
      <c r="K26" s="109"/>
      <c r="L26" s="109"/>
    </row>
    <row r="27" spans="1:24" x14ac:dyDescent="0.35">
      <c r="A27" s="110" t="s">
        <v>41</v>
      </c>
      <c r="B27" s="84"/>
      <c r="C27" s="84"/>
      <c r="D27" s="84"/>
      <c r="E27" s="84"/>
      <c r="F27" s="111" t="s">
        <v>71</v>
      </c>
      <c r="G27" s="112"/>
      <c r="H27" s="113"/>
      <c r="I27" s="107" t="s">
        <v>43</v>
      </c>
      <c r="J27" s="108"/>
      <c r="K27" s="106"/>
      <c r="L27" s="106"/>
    </row>
    <row r="28" spans="1:24" ht="11.25" customHeight="1" x14ac:dyDescent="0.35">
      <c r="F28" s="84"/>
      <c r="G28" s="114"/>
      <c r="H28" s="115"/>
      <c r="I28" s="114"/>
      <c r="J28" s="114"/>
    </row>
    <row r="29" spans="1:24" ht="23.25" customHeight="1" x14ac:dyDescent="0.35">
      <c r="A29" s="114"/>
      <c r="B29" s="84"/>
      <c r="C29" s="84"/>
      <c r="D29" s="84"/>
      <c r="E29" s="84"/>
      <c r="F29" s="84"/>
      <c r="G29" s="98" t="s">
        <v>72</v>
      </c>
      <c r="H29" s="685" t="s">
        <v>31</v>
      </c>
      <c r="I29" s="685"/>
      <c r="J29" s="99" t="s">
        <v>32</v>
      </c>
      <c r="K29" s="100"/>
      <c r="L29" s="101"/>
    </row>
    <row r="30" spans="1:24" ht="21.75" customHeight="1" x14ac:dyDescent="0.35">
      <c r="A30" s="114"/>
      <c r="B30" s="84"/>
      <c r="C30" s="84"/>
      <c r="D30" s="84"/>
      <c r="E30" s="84"/>
      <c r="F30" s="84"/>
      <c r="G30" s="102" t="s">
        <v>33</v>
      </c>
      <c r="H30" s="685"/>
      <c r="I30" s="685"/>
      <c r="J30" s="99" t="s">
        <v>34</v>
      </c>
      <c r="K30" s="100"/>
      <c r="L30" s="101"/>
    </row>
    <row r="31" spans="1:24" x14ac:dyDescent="0.35">
      <c r="A31" s="496" t="s">
        <v>73</v>
      </c>
      <c r="B31" s="84"/>
      <c r="C31" s="84"/>
      <c r="D31" s="84"/>
      <c r="E31" s="84"/>
      <c r="F31" s="116"/>
      <c r="G31" s="114"/>
      <c r="H31" s="115"/>
      <c r="I31" s="114"/>
      <c r="J31" s="114"/>
    </row>
    <row r="32" spans="1:24" x14ac:dyDescent="0.35">
      <c r="A32" s="496" t="s">
        <v>46</v>
      </c>
      <c r="B32" s="84"/>
      <c r="C32" s="84"/>
      <c r="D32" s="84"/>
      <c r="E32" s="84"/>
      <c r="F32" s="84"/>
      <c r="G32" s="114"/>
      <c r="H32" s="115"/>
      <c r="I32" s="114"/>
      <c r="J32" s="114"/>
    </row>
    <row r="33" spans="1:12" x14ac:dyDescent="0.35">
      <c r="A33" s="496" t="s">
        <v>74</v>
      </c>
      <c r="B33" s="84"/>
      <c r="C33" s="84"/>
      <c r="D33" s="84"/>
      <c r="E33" s="84"/>
      <c r="F33" s="84"/>
      <c r="G33" s="114"/>
      <c r="H33" s="115"/>
      <c r="I33" s="114"/>
      <c r="J33" s="114"/>
    </row>
    <row r="34" spans="1:12" x14ac:dyDescent="0.35">
      <c r="A34" s="496" t="s">
        <v>75</v>
      </c>
      <c r="B34" s="84"/>
      <c r="C34" s="84"/>
      <c r="D34" s="84"/>
      <c r="E34" s="84"/>
      <c r="F34" s="84"/>
      <c r="G34" s="114"/>
      <c r="H34" s="115"/>
      <c r="I34" s="114"/>
      <c r="J34" s="114"/>
    </row>
    <row r="35" spans="1:12" x14ac:dyDescent="0.35">
      <c r="A35" s="496" t="s">
        <v>76</v>
      </c>
      <c r="B35" s="84"/>
      <c r="C35" s="496"/>
      <c r="D35" s="117"/>
      <c r="E35" s="117"/>
      <c r="F35" s="117"/>
      <c r="G35" s="118"/>
      <c r="H35" s="115"/>
      <c r="I35" s="114"/>
      <c r="J35" s="114"/>
    </row>
    <row r="36" spans="1:12" x14ac:dyDescent="0.35">
      <c r="A36" s="114"/>
      <c r="B36" s="84"/>
      <c r="C36" s="496" t="s">
        <v>50</v>
      </c>
      <c r="D36" s="84"/>
      <c r="E36" s="84"/>
      <c r="F36" s="84"/>
      <c r="G36" s="114"/>
      <c r="H36" s="115"/>
      <c r="I36" s="114"/>
      <c r="J36" s="114"/>
    </row>
    <row r="37" spans="1:12" x14ac:dyDescent="0.35">
      <c r="A37" s="114"/>
      <c r="B37" s="84"/>
      <c r="C37" s="496" t="s">
        <v>51</v>
      </c>
      <c r="D37" s="84"/>
      <c r="E37" s="84"/>
      <c r="F37" s="84"/>
      <c r="G37" s="114"/>
      <c r="H37" s="115"/>
      <c r="I37" s="114"/>
      <c r="J37" s="114"/>
    </row>
    <row r="38" spans="1:12" x14ac:dyDescent="0.35">
      <c r="A38" s="114"/>
      <c r="B38" s="84"/>
      <c r="C38" s="496" t="s">
        <v>52</v>
      </c>
      <c r="D38" s="84"/>
      <c r="E38" s="84"/>
      <c r="F38" s="84"/>
      <c r="G38" s="114"/>
      <c r="H38" s="115"/>
      <c r="I38" s="114"/>
      <c r="J38" s="114"/>
    </row>
    <row r="39" spans="1:12" x14ac:dyDescent="0.35">
      <c r="A39" s="12" t="s">
        <v>53</v>
      </c>
      <c r="B39" s="84"/>
      <c r="C39" s="84"/>
      <c r="D39" s="84"/>
      <c r="E39" s="84"/>
      <c r="F39" s="84"/>
      <c r="G39" s="114"/>
      <c r="H39" s="115"/>
      <c r="I39" s="114"/>
      <c r="J39" s="114"/>
    </row>
    <row r="40" spans="1:12" x14ac:dyDescent="0.35">
      <c r="A40" s="496" t="s">
        <v>77</v>
      </c>
      <c r="B40" s="84"/>
      <c r="C40" s="84"/>
      <c r="D40" s="84"/>
      <c r="E40" s="84"/>
      <c r="F40" s="84"/>
      <c r="G40" s="114"/>
      <c r="H40" s="115"/>
      <c r="I40" s="114"/>
      <c r="J40" s="114"/>
    </row>
    <row r="41" spans="1:12" x14ac:dyDescent="0.35">
      <c r="A41" s="694" t="s">
        <v>68</v>
      </c>
      <c r="B41" s="694"/>
      <c r="C41" s="694"/>
      <c r="D41" s="84"/>
      <c r="E41" s="84"/>
      <c r="F41" s="84"/>
      <c r="G41" s="84"/>
      <c r="H41" s="119"/>
      <c r="I41" s="114"/>
      <c r="J41" s="114"/>
      <c r="K41" s="114"/>
      <c r="L41" s="114"/>
    </row>
    <row r="42" spans="1:12" x14ac:dyDescent="0.35">
      <c r="A42" s="12" t="s">
        <v>69</v>
      </c>
    </row>
    <row r="45" spans="1:12" x14ac:dyDescent="0.35">
      <c r="A45" s="120"/>
      <c r="B45" s="121"/>
      <c r="C45" s="121"/>
      <c r="D45" s="122"/>
      <c r="E45" s="91"/>
      <c r="F45" s="123"/>
      <c r="G45" s="123"/>
      <c r="H45" s="124"/>
      <c r="I45" s="125"/>
      <c r="J45" s="125"/>
      <c r="K45" s="125"/>
      <c r="L45" s="125"/>
    </row>
    <row r="48" spans="1:12" x14ac:dyDescent="0.35">
      <c r="I48" s="126"/>
      <c r="J48" s="126"/>
      <c r="K48" s="126"/>
      <c r="L48" s="126"/>
    </row>
  </sheetData>
  <mergeCells count="18">
    <mergeCell ref="D2:D3"/>
    <mergeCell ref="E2:E3"/>
    <mergeCell ref="G26:H26"/>
    <mergeCell ref="H29:I30"/>
    <mergeCell ref="A41:C41"/>
    <mergeCell ref="F2:F3"/>
    <mergeCell ref="G2:G3"/>
    <mergeCell ref="A2:A3"/>
    <mergeCell ref="B2:B3"/>
    <mergeCell ref="C2:C3"/>
    <mergeCell ref="L2:L3"/>
    <mergeCell ref="M2:M3"/>
    <mergeCell ref="H22:I23"/>
    <mergeCell ref="H24:I25"/>
    <mergeCell ref="J24:L24"/>
    <mergeCell ref="I2:I3"/>
    <mergeCell ref="J2:J3"/>
    <mergeCell ref="K2:K3"/>
  </mergeCells>
  <pageMargins left="0.31496062992125984" right="0.31496062992125984" top="0" bottom="0" header="0.31496062992125984" footer="0.31496062992125984"/>
  <pageSetup paperSize="9" scale="4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91" zoomScaleNormal="91" workbookViewId="0">
      <selection activeCell="G7" sqref="G7"/>
    </sheetView>
  </sheetViews>
  <sheetFormatPr defaultRowHeight="21" x14ac:dyDescent="0.35"/>
  <cols>
    <col min="1" max="1" width="18.875" style="416" customWidth="1"/>
    <col min="2" max="2" width="10.75" style="416" customWidth="1"/>
    <col min="3" max="3" width="10.5" style="416" customWidth="1"/>
    <col min="4" max="4" width="10.125" style="416" customWidth="1"/>
    <col min="5" max="5" width="10.625" style="416" customWidth="1"/>
    <col min="6" max="6" width="10.875" style="416" customWidth="1"/>
    <col min="7" max="7" width="13.125" style="416" customWidth="1"/>
    <col min="8" max="16384" width="9" style="416"/>
  </cols>
  <sheetData>
    <row r="1" spans="1:18" ht="21.75" thickBot="1" x14ac:dyDescent="0.4">
      <c r="B1" s="417"/>
      <c r="L1" s="416" t="s">
        <v>255</v>
      </c>
    </row>
    <row r="2" spans="1:18" ht="20.25" customHeight="1" thickBot="1" x14ac:dyDescent="0.5">
      <c r="A2" s="745" t="s">
        <v>133</v>
      </c>
      <c r="B2" s="754" t="s">
        <v>148</v>
      </c>
      <c r="C2" s="754"/>
      <c r="D2" s="754"/>
      <c r="E2" s="754"/>
      <c r="F2" s="754"/>
      <c r="G2" s="754"/>
      <c r="L2" s="746" t="s">
        <v>133</v>
      </c>
      <c r="M2" s="749" t="s">
        <v>148</v>
      </c>
      <c r="N2" s="750"/>
      <c r="O2" s="750"/>
      <c r="P2" s="750"/>
      <c r="Q2" s="750"/>
      <c r="R2" s="595" t="s">
        <v>240</v>
      </c>
    </row>
    <row r="3" spans="1:18" ht="20.25" customHeight="1" thickBot="1" x14ac:dyDescent="0.4">
      <c r="A3" s="745"/>
      <c r="B3" s="753" t="s">
        <v>155</v>
      </c>
      <c r="C3" s="753"/>
      <c r="D3" s="753"/>
      <c r="E3" s="753"/>
      <c r="F3" s="753" t="s">
        <v>156</v>
      </c>
      <c r="G3" s="753"/>
      <c r="L3" s="747"/>
      <c r="M3" s="751" t="s">
        <v>156</v>
      </c>
      <c r="N3" s="752"/>
      <c r="O3" s="752"/>
      <c r="P3" s="752"/>
      <c r="Q3" s="752"/>
      <c r="R3" s="596"/>
    </row>
    <row r="4" spans="1:18" ht="27" customHeight="1" thickBot="1" x14ac:dyDescent="0.4">
      <c r="A4" s="745"/>
      <c r="B4" s="438" t="s">
        <v>151</v>
      </c>
      <c r="C4" s="438" t="s">
        <v>152</v>
      </c>
      <c r="D4" s="438" t="s">
        <v>153</v>
      </c>
      <c r="E4" s="438" t="s">
        <v>154</v>
      </c>
      <c r="F4" s="438" t="s">
        <v>151</v>
      </c>
      <c r="G4" s="438" t="s">
        <v>152</v>
      </c>
      <c r="L4" s="748"/>
      <c r="M4" s="597">
        <v>21671</v>
      </c>
      <c r="N4" s="597">
        <v>21702</v>
      </c>
      <c r="O4" s="597">
        <v>21732</v>
      </c>
      <c r="P4" s="597">
        <v>21763</v>
      </c>
      <c r="Q4" s="598">
        <v>21794</v>
      </c>
      <c r="R4" s="599" t="s">
        <v>241</v>
      </c>
    </row>
    <row r="5" spans="1:18" ht="21" customHeight="1" thickBot="1" x14ac:dyDescent="0.4">
      <c r="A5" s="745"/>
      <c r="B5" s="418" t="s">
        <v>147</v>
      </c>
      <c r="C5" s="438" t="s">
        <v>149</v>
      </c>
      <c r="D5" s="438" t="s">
        <v>150</v>
      </c>
      <c r="E5" s="439">
        <v>21429</v>
      </c>
      <c r="F5" s="439">
        <v>21520</v>
      </c>
      <c r="G5" s="439">
        <v>21610</v>
      </c>
      <c r="L5" s="600" t="s">
        <v>12</v>
      </c>
      <c r="M5" s="601">
        <v>0</v>
      </c>
      <c r="N5" s="602"/>
      <c r="O5" s="602"/>
      <c r="P5" s="602"/>
      <c r="Q5" s="603"/>
      <c r="R5" s="596" t="e">
        <f>'[1]สค59 (2)'!V19</f>
        <v>#REF!</v>
      </c>
    </row>
    <row r="6" spans="1:18" ht="24.75" customHeight="1" thickBot="1" x14ac:dyDescent="0.4">
      <c r="A6" s="419" t="s">
        <v>12</v>
      </c>
      <c r="B6" s="429">
        <v>1</v>
      </c>
      <c r="C6" s="427">
        <v>0</v>
      </c>
      <c r="D6" s="427">
        <v>0</v>
      </c>
      <c r="E6" s="429">
        <v>1</v>
      </c>
      <c r="F6" s="427">
        <v>0</v>
      </c>
      <c r="G6" s="428">
        <v>0</v>
      </c>
      <c r="I6" s="437"/>
      <c r="L6" s="600" t="s">
        <v>13</v>
      </c>
      <c r="M6" s="604">
        <v>4</v>
      </c>
      <c r="N6" s="602"/>
      <c r="O6" s="602"/>
      <c r="P6" s="602"/>
      <c r="Q6" s="603"/>
      <c r="R6" s="596" t="e">
        <f>'[1]สค59 (2)'!V7</f>
        <v>#REF!</v>
      </c>
    </row>
    <row r="7" spans="1:18" ht="24.75" customHeight="1" thickBot="1" x14ac:dyDescent="0.4">
      <c r="A7" s="419" t="s">
        <v>13</v>
      </c>
      <c r="B7" s="427">
        <v>0</v>
      </c>
      <c r="C7" s="427">
        <v>0</v>
      </c>
      <c r="D7" s="429">
        <v>1</v>
      </c>
      <c r="E7" s="427">
        <v>0</v>
      </c>
      <c r="F7" s="429">
        <v>2</v>
      </c>
      <c r="G7" s="428">
        <v>0</v>
      </c>
      <c r="H7" s="417"/>
      <c r="L7" s="600" t="s">
        <v>242</v>
      </c>
      <c r="M7" s="605">
        <v>1</v>
      </c>
      <c r="N7" s="605">
        <v>1</v>
      </c>
      <c r="O7" s="605">
        <v>1</v>
      </c>
      <c r="P7" s="606">
        <v>3</v>
      </c>
      <c r="Q7" s="607">
        <v>3</v>
      </c>
      <c r="R7" s="596" t="e">
        <f>'[1]สค59 (2)'!V14</f>
        <v>#REF!</v>
      </c>
    </row>
    <row r="8" spans="1:18" ht="24.75" customHeight="1" thickBot="1" x14ac:dyDescent="0.4">
      <c r="A8" s="419" t="s">
        <v>14</v>
      </c>
      <c r="B8" s="429">
        <v>2</v>
      </c>
      <c r="C8" s="429">
        <v>1</v>
      </c>
      <c r="D8" s="429">
        <v>2</v>
      </c>
      <c r="E8" s="435">
        <v>5</v>
      </c>
      <c r="F8" s="431">
        <v>3</v>
      </c>
      <c r="G8" s="430">
        <v>1</v>
      </c>
      <c r="L8" s="600" t="s">
        <v>243</v>
      </c>
      <c r="M8" s="608">
        <v>2</v>
      </c>
      <c r="N8" s="608">
        <v>2</v>
      </c>
      <c r="O8" s="608">
        <v>2</v>
      </c>
      <c r="P8" s="608">
        <v>2</v>
      </c>
      <c r="Q8" s="609">
        <v>2</v>
      </c>
      <c r="R8" s="596" t="e">
        <f>'[1]สค59 (2)'!V9</f>
        <v>#REF!</v>
      </c>
    </row>
    <row r="9" spans="1:18" ht="24.75" customHeight="1" thickBot="1" x14ac:dyDescent="0.4">
      <c r="A9" s="419" t="s">
        <v>15</v>
      </c>
      <c r="B9" s="427">
        <v>0</v>
      </c>
      <c r="C9" s="427">
        <v>0</v>
      </c>
      <c r="D9" s="429">
        <v>1</v>
      </c>
      <c r="E9" s="429">
        <v>1</v>
      </c>
      <c r="F9" s="429">
        <v>1</v>
      </c>
      <c r="G9" s="430">
        <v>1</v>
      </c>
      <c r="L9" s="600" t="s">
        <v>244</v>
      </c>
      <c r="M9" s="605">
        <v>1</v>
      </c>
      <c r="N9" s="605">
        <v>1</v>
      </c>
      <c r="O9" s="605">
        <v>1</v>
      </c>
      <c r="P9" s="605">
        <v>1</v>
      </c>
      <c r="Q9" s="610">
        <v>1</v>
      </c>
      <c r="R9" s="611" t="e">
        <f>'[1]สค59 (2)'!V11</f>
        <v>#REF!</v>
      </c>
    </row>
    <row r="10" spans="1:18" ht="24.75" customHeight="1" thickBot="1" x14ac:dyDescent="0.4">
      <c r="A10" s="419" t="s">
        <v>16</v>
      </c>
      <c r="B10" s="427">
        <v>0</v>
      </c>
      <c r="C10" s="427">
        <v>0</v>
      </c>
      <c r="D10" s="429">
        <v>1</v>
      </c>
      <c r="E10" s="429">
        <v>1</v>
      </c>
      <c r="F10" s="429">
        <v>1</v>
      </c>
      <c r="G10" s="430">
        <v>1</v>
      </c>
      <c r="L10" s="600" t="s">
        <v>245</v>
      </c>
      <c r="M10" s="608">
        <v>2</v>
      </c>
      <c r="N10" s="608">
        <v>2</v>
      </c>
      <c r="O10" s="608">
        <v>2</v>
      </c>
      <c r="P10" s="608">
        <v>2</v>
      </c>
      <c r="Q10" s="609">
        <v>2</v>
      </c>
      <c r="R10" s="596" t="e">
        <f>'[1]สค59 (2)'!V20</f>
        <v>#REF!</v>
      </c>
    </row>
    <row r="11" spans="1:18" ht="24.75" customHeight="1" thickBot="1" x14ac:dyDescent="0.4">
      <c r="A11" s="419" t="s">
        <v>17</v>
      </c>
      <c r="B11" s="429">
        <v>2</v>
      </c>
      <c r="C11" s="431">
        <v>3</v>
      </c>
      <c r="D11" s="426">
        <v>7</v>
      </c>
      <c r="E11" s="426">
        <v>7</v>
      </c>
      <c r="F11" s="429">
        <v>2</v>
      </c>
      <c r="G11" s="430">
        <v>2</v>
      </c>
      <c r="L11" s="600" t="s">
        <v>246</v>
      </c>
      <c r="M11" s="601">
        <v>0</v>
      </c>
      <c r="N11" s="601">
        <v>0</v>
      </c>
      <c r="O11" s="601">
        <v>0</v>
      </c>
      <c r="P11" s="601">
        <v>0</v>
      </c>
      <c r="Q11" s="610">
        <v>1</v>
      </c>
      <c r="R11" s="611" t="e">
        <f>'[1]สค59 (2)'!V16</f>
        <v>#REF!</v>
      </c>
    </row>
    <row r="12" spans="1:18" ht="24.75" customHeight="1" thickBot="1" x14ac:dyDescent="0.4">
      <c r="A12" s="419" t="s">
        <v>18</v>
      </c>
      <c r="B12" s="427">
        <v>0</v>
      </c>
      <c r="C12" s="427">
        <v>0</v>
      </c>
      <c r="D12" s="427">
        <v>0</v>
      </c>
      <c r="E12" s="427">
        <v>0</v>
      </c>
      <c r="F12" s="427">
        <v>0</v>
      </c>
      <c r="G12" s="428">
        <v>0</v>
      </c>
      <c r="L12" s="600" t="s">
        <v>247</v>
      </c>
      <c r="M12" s="604">
        <v>4</v>
      </c>
      <c r="N12" s="608">
        <v>2</v>
      </c>
      <c r="O12" s="606">
        <v>3</v>
      </c>
      <c r="P12" s="608">
        <v>2</v>
      </c>
      <c r="Q12" s="609">
        <v>2</v>
      </c>
      <c r="R12" s="596" t="e">
        <f>'[1]สค59 (2)'!V5</f>
        <v>#REF!</v>
      </c>
    </row>
    <row r="13" spans="1:18" ht="24.75" customHeight="1" thickBot="1" x14ac:dyDescent="0.4">
      <c r="A13" s="419" t="s">
        <v>19</v>
      </c>
      <c r="B13" s="435">
        <v>5</v>
      </c>
      <c r="C13" s="435">
        <v>5</v>
      </c>
      <c r="D13" s="436">
        <v>6</v>
      </c>
      <c r="E13" s="426">
        <v>7</v>
      </c>
      <c r="F13" s="426">
        <v>7</v>
      </c>
      <c r="G13" s="433">
        <v>4</v>
      </c>
      <c r="L13" s="600" t="s">
        <v>248</v>
      </c>
      <c r="M13" s="605">
        <v>1</v>
      </c>
      <c r="N13" s="605">
        <v>1</v>
      </c>
      <c r="O13" s="605">
        <v>1</v>
      </c>
      <c r="P13" s="605">
        <v>1</v>
      </c>
      <c r="Q13" s="610">
        <v>1</v>
      </c>
      <c r="R13" s="611" t="e">
        <f>'[1]สค59 (2)'!V12</f>
        <v>#REF!</v>
      </c>
    </row>
    <row r="14" spans="1:18" ht="24.75" customHeight="1" thickBot="1" x14ac:dyDescent="0.4">
      <c r="A14" s="419" t="s">
        <v>20</v>
      </c>
      <c r="B14" s="427">
        <v>0</v>
      </c>
      <c r="C14" s="429">
        <v>1</v>
      </c>
      <c r="D14" s="429">
        <v>1</v>
      </c>
      <c r="E14" s="431">
        <v>3</v>
      </c>
      <c r="F14" s="429">
        <v>1</v>
      </c>
      <c r="G14" s="430">
        <v>1</v>
      </c>
      <c r="L14" s="600" t="s">
        <v>249</v>
      </c>
      <c r="M14" s="608">
        <v>2</v>
      </c>
      <c r="N14" s="605">
        <v>1</v>
      </c>
      <c r="O14" s="608">
        <v>2</v>
      </c>
      <c r="P14" s="608">
        <v>2</v>
      </c>
      <c r="Q14" s="609">
        <v>2</v>
      </c>
      <c r="R14" s="596" t="e">
        <f>'[1]สค59 (2)'!V10</f>
        <v>#REF!</v>
      </c>
    </row>
    <row r="15" spans="1:18" ht="24.75" customHeight="1" thickBot="1" x14ac:dyDescent="0.4">
      <c r="A15" s="419" t="s">
        <v>21</v>
      </c>
      <c r="B15" s="427">
        <v>0</v>
      </c>
      <c r="C15" s="429">
        <v>0</v>
      </c>
      <c r="D15" s="429">
        <v>1</v>
      </c>
      <c r="E15" s="429">
        <v>1</v>
      </c>
      <c r="F15" s="429">
        <v>2</v>
      </c>
      <c r="G15" s="428">
        <v>0</v>
      </c>
      <c r="L15" s="600" t="s">
        <v>22</v>
      </c>
      <c r="M15" s="606">
        <v>3</v>
      </c>
      <c r="N15" s="605">
        <v>1</v>
      </c>
      <c r="O15" s="605">
        <v>1</v>
      </c>
      <c r="P15" s="605">
        <v>1</v>
      </c>
      <c r="Q15" s="612">
        <v>0</v>
      </c>
      <c r="R15" s="611" t="e">
        <f>'[1]สค59 (2)'!V15</f>
        <v>#REF!</v>
      </c>
    </row>
    <row r="16" spans="1:18" ht="24.75" customHeight="1" thickBot="1" x14ac:dyDescent="0.4">
      <c r="A16" s="419" t="s">
        <v>22</v>
      </c>
      <c r="B16" s="427">
        <v>0</v>
      </c>
      <c r="C16" s="427">
        <v>0</v>
      </c>
      <c r="D16" s="429">
        <v>2</v>
      </c>
      <c r="E16" s="434">
        <v>4</v>
      </c>
      <c r="F16" s="426">
        <v>7</v>
      </c>
      <c r="G16" s="432">
        <v>3</v>
      </c>
      <c r="L16" s="600" t="s">
        <v>250</v>
      </c>
      <c r="M16" s="605">
        <v>1</v>
      </c>
      <c r="N16" s="601">
        <v>0</v>
      </c>
      <c r="O16" s="605">
        <v>1</v>
      </c>
      <c r="P16" s="601">
        <v>0</v>
      </c>
      <c r="Q16" s="610">
        <v>1</v>
      </c>
      <c r="R16" s="611" t="e">
        <f>'[1]สค59 (2)'!V17</f>
        <v>#REF!</v>
      </c>
    </row>
    <row r="17" spans="1:18" ht="24.75" customHeight="1" thickBot="1" x14ac:dyDescent="0.4">
      <c r="A17" s="419" t="s">
        <v>23</v>
      </c>
      <c r="B17" s="427">
        <v>0</v>
      </c>
      <c r="C17" s="427">
        <v>0</v>
      </c>
      <c r="D17" s="427">
        <v>0</v>
      </c>
      <c r="E17" s="427">
        <v>0</v>
      </c>
      <c r="F17" s="429">
        <v>1</v>
      </c>
      <c r="G17" s="430">
        <v>1</v>
      </c>
      <c r="L17" s="600" t="s">
        <v>251</v>
      </c>
      <c r="M17" s="608">
        <v>2</v>
      </c>
      <c r="N17" s="606">
        <v>3</v>
      </c>
      <c r="O17" s="604">
        <v>4</v>
      </c>
      <c r="P17" s="604">
        <v>4</v>
      </c>
      <c r="Q17" s="613">
        <v>4</v>
      </c>
      <c r="R17" s="596" t="e">
        <f>'[1]สค59 (2)'!V13</f>
        <v>#REF!</v>
      </c>
    </row>
    <row r="18" spans="1:18" ht="24.75" customHeight="1" thickBot="1" x14ac:dyDescent="0.4">
      <c r="A18" s="419" t="s">
        <v>24</v>
      </c>
      <c r="B18" s="427">
        <v>0</v>
      </c>
      <c r="C18" s="427">
        <v>0</v>
      </c>
      <c r="D18" s="429">
        <v>1</v>
      </c>
      <c r="E18" s="427">
        <v>0</v>
      </c>
      <c r="F18" s="427">
        <v>0</v>
      </c>
      <c r="G18" s="428">
        <v>0</v>
      </c>
      <c r="L18" s="600" t="s">
        <v>252</v>
      </c>
      <c r="M18" s="614">
        <v>6</v>
      </c>
      <c r="N18" s="604">
        <v>4</v>
      </c>
      <c r="O18" s="615">
        <v>5</v>
      </c>
      <c r="P18" s="614">
        <v>6</v>
      </c>
      <c r="Q18" s="607">
        <v>3</v>
      </c>
      <c r="R18" s="596" t="e">
        <f>'[1]สค59 (2)'!V8</f>
        <v>#REF!</v>
      </c>
    </row>
    <row r="19" spans="1:18" ht="24.75" customHeight="1" thickBot="1" x14ac:dyDescent="0.4">
      <c r="A19" s="419" t="s">
        <v>25</v>
      </c>
      <c r="B19" s="427">
        <v>0</v>
      </c>
      <c r="C19" s="427">
        <v>0</v>
      </c>
      <c r="D19" s="431">
        <v>3</v>
      </c>
      <c r="E19" s="431">
        <v>3</v>
      </c>
      <c r="F19" s="429">
        <v>2</v>
      </c>
      <c r="G19" s="432">
        <v>3</v>
      </c>
      <c r="L19" s="600" t="s">
        <v>253</v>
      </c>
      <c r="M19" s="605">
        <v>1</v>
      </c>
      <c r="N19" s="605">
        <v>1</v>
      </c>
      <c r="O19" s="608">
        <v>2</v>
      </c>
      <c r="P19" s="608">
        <v>2</v>
      </c>
      <c r="Q19" s="609">
        <v>2</v>
      </c>
      <c r="R19" s="596" t="e">
        <f>'[1]สค59 (2)'!V18</f>
        <v>#REF!</v>
      </c>
    </row>
    <row r="20" spans="1:18" ht="24.75" customHeight="1" thickBot="1" x14ac:dyDescent="0.4">
      <c r="A20" s="419" t="s">
        <v>26</v>
      </c>
      <c r="B20" s="434">
        <v>4</v>
      </c>
      <c r="C20" s="426">
        <v>7</v>
      </c>
      <c r="D20" s="426">
        <v>7</v>
      </c>
      <c r="E20" s="426">
        <v>7</v>
      </c>
      <c r="F20" s="434">
        <v>4</v>
      </c>
      <c r="G20" s="433">
        <v>4</v>
      </c>
      <c r="L20" s="600" t="s">
        <v>254</v>
      </c>
      <c r="M20" s="605">
        <v>1</v>
      </c>
      <c r="N20" s="605">
        <v>1</v>
      </c>
      <c r="O20" s="606">
        <v>3</v>
      </c>
      <c r="P20" s="606">
        <v>3</v>
      </c>
      <c r="Q20" s="613">
        <v>4</v>
      </c>
      <c r="R20" s="596" t="e">
        <f>'[1]สค59 (2)'!V6</f>
        <v>#REF!</v>
      </c>
    </row>
    <row r="21" spans="1:18" ht="24.75" customHeight="1" x14ac:dyDescent="0.35">
      <c r="A21" s="419" t="s">
        <v>27</v>
      </c>
      <c r="B21" s="434">
        <v>4</v>
      </c>
      <c r="C21" s="434">
        <v>4</v>
      </c>
      <c r="D21" s="426">
        <v>7</v>
      </c>
      <c r="E21" s="426">
        <v>7</v>
      </c>
      <c r="F21" s="429">
        <v>1</v>
      </c>
      <c r="G21" s="430">
        <v>1</v>
      </c>
    </row>
    <row r="22" spans="1:18" ht="9" customHeight="1" x14ac:dyDescent="0.35"/>
    <row r="23" spans="1:18" ht="22.5" customHeight="1" x14ac:dyDescent="0.35">
      <c r="A23" s="420"/>
      <c r="B23" s="417"/>
    </row>
    <row r="24" spans="1:18" x14ac:dyDescent="0.35">
      <c r="A24" s="416" t="s">
        <v>29</v>
      </c>
    </row>
    <row r="26" spans="1:18" ht="26.25" customHeight="1" x14ac:dyDescent="0.35">
      <c r="A26" s="421" t="s">
        <v>35</v>
      </c>
      <c r="B26" s="422"/>
    </row>
    <row r="27" spans="1:18" x14ac:dyDescent="0.35">
      <c r="B27" s="423"/>
    </row>
    <row r="28" spans="1:18" x14ac:dyDescent="0.35">
      <c r="A28" s="416" t="s">
        <v>38</v>
      </c>
      <c r="B28" s="423"/>
    </row>
    <row r="29" spans="1:18" x14ac:dyDescent="0.35">
      <c r="A29" s="424" t="s">
        <v>41</v>
      </c>
      <c r="B29" s="423"/>
    </row>
    <row r="30" spans="1:18" ht="12.75" customHeight="1" x14ac:dyDescent="0.35"/>
    <row r="33" spans="1:1" x14ac:dyDescent="0.35">
      <c r="A33" s="416" t="s">
        <v>83</v>
      </c>
    </row>
    <row r="34" spans="1:1" x14ac:dyDescent="0.35">
      <c r="A34" s="416" t="s">
        <v>46</v>
      </c>
    </row>
    <row r="35" spans="1:1" x14ac:dyDescent="0.35">
      <c r="A35" s="416" t="s">
        <v>157</v>
      </c>
    </row>
    <row r="36" spans="1:1" x14ac:dyDescent="0.35">
      <c r="A36" s="416" t="s">
        <v>158</v>
      </c>
    </row>
    <row r="37" spans="1:1" x14ac:dyDescent="0.35">
      <c r="A37" s="416" t="s">
        <v>159</v>
      </c>
    </row>
    <row r="41" spans="1:1" x14ac:dyDescent="0.35">
      <c r="A41" s="416" t="s">
        <v>53</v>
      </c>
    </row>
    <row r="42" spans="1:1" x14ac:dyDescent="0.35">
      <c r="A42" s="416" t="s">
        <v>84</v>
      </c>
    </row>
  </sheetData>
  <mergeCells count="7">
    <mergeCell ref="A2:A5"/>
    <mergeCell ref="L2:L4"/>
    <mergeCell ref="M2:Q2"/>
    <mergeCell ref="M3:Q3"/>
    <mergeCell ref="B3:E3"/>
    <mergeCell ref="F3:G3"/>
    <mergeCell ref="B2:G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6"/>
  <sheetViews>
    <sheetView topLeftCell="A4" workbookViewId="0">
      <selection sqref="A1:IV65536"/>
    </sheetView>
  </sheetViews>
  <sheetFormatPr defaultRowHeight="14.25" x14ac:dyDescent="0.2"/>
  <cols>
    <col min="1" max="1" width="20.125" customWidth="1"/>
  </cols>
  <sheetData>
    <row r="3" spans="1:19" ht="23.25" customHeight="1" x14ac:dyDescent="0.5">
      <c r="A3" s="755" t="s">
        <v>133</v>
      </c>
      <c r="B3" s="757" t="s">
        <v>134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9"/>
    </row>
    <row r="4" spans="1:19" ht="23.25" x14ac:dyDescent="0.5">
      <c r="A4" s="756"/>
      <c r="B4" s="394">
        <v>21094</v>
      </c>
      <c r="C4" s="394">
        <v>21125</v>
      </c>
      <c r="D4" s="394">
        <v>21155</v>
      </c>
      <c r="E4" s="394">
        <v>21186</v>
      </c>
      <c r="F4" s="394">
        <v>21217</v>
      </c>
      <c r="G4" s="394">
        <v>21245</v>
      </c>
      <c r="H4" s="394">
        <v>21276</v>
      </c>
      <c r="I4" s="394">
        <v>21306</v>
      </c>
      <c r="J4" s="394">
        <v>21337</v>
      </c>
      <c r="K4" s="394">
        <v>21367</v>
      </c>
      <c r="L4" s="394">
        <v>21398</v>
      </c>
      <c r="M4" s="394">
        <v>21429</v>
      </c>
      <c r="N4" s="394">
        <v>21459</v>
      </c>
      <c r="O4" s="394">
        <v>21490</v>
      </c>
      <c r="P4" s="394">
        <v>21520</v>
      </c>
      <c r="Q4" s="394">
        <v>21551</v>
      </c>
      <c r="R4" s="394">
        <v>21582</v>
      </c>
      <c r="S4" s="394">
        <v>21610</v>
      </c>
    </row>
    <row r="5" spans="1:19" ht="23.25" x14ac:dyDescent="0.5">
      <c r="A5" s="395" t="s">
        <v>135</v>
      </c>
      <c r="B5" s="396">
        <v>1</v>
      </c>
      <c r="C5" s="397">
        <v>5</v>
      </c>
      <c r="D5" s="398">
        <v>4</v>
      </c>
      <c r="E5" s="398">
        <v>4</v>
      </c>
      <c r="F5" s="399">
        <v>3</v>
      </c>
      <c r="G5" s="399">
        <v>3</v>
      </c>
      <c r="H5" s="397">
        <v>5</v>
      </c>
      <c r="I5" s="397">
        <v>5</v>
      </c>
      <c r="J5" s="398">
        <v>4</v>
      </c>
      <c r="K5" s="397">
        <v>5</v>
      </c>
      <c r="L5" s="397">
        <v>5</v>
      </c>
      <c r="M5" s="397">
        <v>5</v>
      </c>
      <c r="N5" s="399">
        <v>3</v>
      </c>
      <c r="O5" s="399">
        <v>3</v>
      </c>
      <c r="P5" s="398">
        <v>4</v>
      </c>
      <c r="Q5" s="399">
        <v>3</v>
      </c>
      <c r="R5" s="400">
        <v>3</v>
      </c>
      <c r="S5" s="401">
        <v>2</v>
      </c>
    </row>
    <row r="6" spans="1:19" ht="23.25" x14ac:dyDescent="0.5">
      <c r="A6" s="402" t="s">
        <v>136</v>
      </c>
      <c r="B6" s="403">
        <v>6</v>
      </c>
      <c r="C6" s="403">
        <v>6</v>
      </c>
      <c r="D6" s="398">
        <v>4</v>
      </c>
      <c r="E6" s="404">
        <v>2</v>
      </c>
      <c r="F6" s="396">
        <v>1</v>
      </c>
      <c r="G6" s="396">
        <v>1</v>
      </c>
      <c r="H6" s="396">
        <v>1</v>
      </c>
      <c r="I6" s="396">
        <v>1</v>
      </c>
      <c r="J6" s="396">
        <v>1</v>
      </c>
      <c r="K6" s="396">
        <v>1</v>
      </c>
      <c r="L6" s="396">
        <v>1</v>
      </c>
      <c r="M6" s="399">
        <v>3</v>
      </c>
      <c r="N6" s="397">
        <v>5</v>
      </c>
      <c r="O6" s="398">
        <v>4</v>
      </c>
      <c r="P6" s="398">
        <v>4</v>
      </c>
      <c r="Q6" s="403">
        <v>6</v>
      </c>
      <c r="R6" s="403">
        <v>6</v>
      </c>
      <c r="S6" s="405">
        <v>4</v>
      </c>
    </row>
    <row r="7" spans="1:19" ht="23.25" x14ac:dyDescent="0.5">
      <c r="A7" s="395" t="s">
        <v>137</v>
      </c>
      <c r="B7" s="406">
        <v>0</v>
      </c>
      <c r="C7" s="406">
        <v>0</v>
      </c>
      <c r="D7" s="406">
        <v>0</v>
      </c>
      <c r="E7" s="406">
        <v>0</v>
      </c>
      <c r="F7" s="406">
        <v>0</v>
      </c>
      <c r="G7" s="406">
        <v>0</v>
      </c>
      <c r="H7" s="406">
        <v>0</v>
      </c>
      <c r="I7" s="406">
        <v>0</v>
      </c>
      <c r="J7" s="406">
        <v>0</v>
      </c>
      <c r="K7" s="396">
        <v>1</v>
      </c>
      <c r="L7" s="396">
        <v>1</v>
      </c>
      <c r="M7" s="396">
        <v>1</v>
      </c>
      <c r="N7" s="406">
        <v>0</v>
      </c>
      <c r="O7" s="396">
        <v>1</v>
      </c>
      <c r="P7" s="396">
        <v>1</v>
      </c>
      <c r="Q7" s="406">
        <v>0</v>
      </c>
      <c r="R7" s="404">
        <v>2</v>
      </c>
      <c r="S7" s="407">
        <v>0</v>
      </c>
    </row>
    <row r="8" spans="1:19" ht="23.25" x14ac:dyDescent="0.5">
      <c r="A8" s="395" t="s">
        <v>138</v>
      </c>
      <c r="B8" s="396">
        <v>1</v>
      </c>
      <c r="C8" s="396">
        <v>1</v>
      </c>
      <c r="D8" s="406">
        <v>0</v>
      </c>
      <c r="E8" s="406">
        <v>0</v>
      </c>
      <c r="F8" s="406">
        <v>0</v>
      </c>
      <c r="G8" s="406">
        <v>0</v>
      </c>
      <c r="H8" s="406">
        <v>0</v>
      </c>
      <c r="I8" s="406">
        <v>0</v>
      </c>
      <c r="J8" s="399">
        <v>3</v>
      </c>
      <c r="K8" s="404">
        <v>2</v>
      </c>
      <c r="L8" s="404">
        <v>2</v>
      </c>
      <c r="M8" s="408">
        <v>7</v>
      </c>
      <c r="N8" s="406">
        <v>0</v>
      </c>
      <c r="O8" s="396">
        <v>1</v>
      </c>
      <c r="P8" s="396">
        <v>1</v>
      </c>
      <c r="Q8" s="404">
        <v>2</v>
      </c>
      <c r="R8" s="396">
        <v>1</v>
      </c>
      <c r="S8" s="409">
        <v>1</v>
      </c>
    </row>
    <row r="9" spans="1:19" ht="23.25" x14ac:dyDescent="0.5">
      <c r="A9" s="395" t="s">
        <v>139</v>
      </c>
      <c r="B9" s="396">
        <v>1</v>
      </c>
      <c r="C9" s="406">
        <v>0</v>
      </c>
      <c r="D9" s="396">
        <v>1</v>
      </c>
      <c r="E9" s="406">
        <v>0</v>
      </c>
      <c r="F9" s="406">
        <v>0</v>
      </c>
      <c r="G9" s="406">
        <v>0</v>
      </c>
      <c r="H9" s="406">
        <v>0</v>
      </c>
      <c r="I9" s="396">
        <v>1</v>
      </c>
      <c r="J9" s="396">
        <v>1</v>
      </c>
      <c r="K9" s="396">
        <v>1</v>
      </c>
      <c r="L9" s="396">
        <v>1</v>
      </c>
      <c r="M9" s="396">
        <v>1</v>
      </c>
      <c r="N9" s="396">
        <v>1</v>
      </c>
      <c r="O9" s="406">
        <v>0</v>
      </c>
      <c r="P9" s="396">
        <v>1</v>
      </c>
      <c r="Q9" s="406">
        <v>0</v>
      </c>
      <c r="R9" s="406">
        <v>0</v>
      </c>
      <c r="S9" s="410">
        <v>1</v>
      </c>
    </row>
    <row r="10" spans="1:19" ht="23.25" x14ac:dyDescent="0.5">
      <c r="A10" s="395" t="s">
        <v>140</v>
      </c>
      <c r="B10" s="396">
        <v>1</v>
      </c>
      <c r="C10" s="396">
        <v>1</v>
      </c>
      <c r="D10" s="406">
        <v>0</v>
      </c>
      <c r="E10" s="396">
        <v>1</v>
      </c>
      <c r="F10" s="396">
        <v>1</v>
      </c>
      <c r="G10" s="396">
        <v>1</v>
      </c>
      <c r="H10" s="396">
        <v>1</v>
      </c>
      <c r="I10" s="396">
        <v>1</v>
      </c>
      <c r="J10" s="396">
        <v>1</v>
      </c>
      <c r="K10" s="396">
        <v>1</v>
      </c>
      <c r="L10" s="404">
        <v>2</v>
      </c>
      <c r="M10" s="404">
        <v>2</v>
      </c>
      <c r="N10" s="404">
        <v>2</v>
      </c>
      <c r="O10" s="406">
        <v>0</v>
      </c>
      <c r="P10" s="406">
        <v>0</v>
      </c>
      <c r="Q10" s="404">
        <v>2</v>
      </c>
      <c r="R10" s="404">
        <v>2</v>
      </c>
      <c r="S10" s="411">
        <v>2</v>
      </c>
    </row>
    <row r="11" spans="1:19" ht="23.25" x14ac:dyDescent="0.5">
      <c r="A11" s="395" t="s">
        <v>141</v>
      </c>
      <c r="B11" s="408">
        <v>7</v>
      </c>
      <c r="C11" s="408">
        <v>7</v>
      </c>
      <c r="D11" s="404">
        <v>2</v>
      </c>
      <c r="E11" s="404">
        <v>2</v>
      </c>
      <c r="F11" s="404">
        <v>2</v>
      </c>
      <c r="G11" s="404">
        <v>2</v>
      </c>
      <c r="H11" s="398">
        <v>4</v>
      </c>
      <c r="I11" s="408">
        <v>7</v>
      </c>
      <c r="J11" s="408">
        <v>7</v>
      </c>
      <c r="K11" s="408">
        <v>7</v>
      </c>
      <c r="L11" s="408">
        <v>7</v>
      </c>
      <c r="M11" s="408">
        <v>7</v>
      </c>
      <c r="N11" s="408">
        <v>7</v>
      </c>
      <c r="O11" s="408">
        <v>7</v>
      </c>
      <c r="P11" s="408">
        <v>7</v>
      </c>
      <c r="Q11" s="408">
        <v>7</v>
      </c>
      <c r="R11" s="398">
        <v>4</v>
      </c>
      <c r="S11" s="412">
        <v>7</v>
      </c>
    </row>
    <row r="12" spans="1:19" ht="23.25" x14ac:dyDescent="0.5">
      <c r="A12" s="395" t="s">
        <v>142</v>
      </c>
      <c r="B12" s="396">
        <v>1</v>
      </c>
      <c r="C12" s="396">
        <v>1</v>
      </c>
      <c r="D12" s="406">
        <v>0</v>
      </c>
      <c r="E12" s="406">
        <v>0</v>
      </c>
      <c r="F12" s="396">
        <v>1</v>
      </c>
      <c r="G12" s="396">
        <v>1</v>
      </c>
      <c r="H12" s="399">
        <v>3</v>
      </c>
      <c r="I12" s="398">
        <v>4</v>
      </c>
      <c r="J12" s="403">
        <v>6</v>
      </c>
      <c r="K12" s="408">
        <v>7</v>
      </c>
      <c r="L12" s="408">
        <v>7</v>
      </c>
      <c r="M12" s="408">
        <v>7</v>
      </c>
      <c r="N12" s="408">
        <v>7</v>
      </c>
      <c r="O12" s="399">
        <v>3</v>
      </c>
      <c r="P12" s="398">
        <v>4</v>
      </c>
      <c r="Q12" s="399">
        <v>3</v>
      </c>
      <c r="R12" s="408">
        <v>7</v>
      </c>
      <c r="S12" s="413">
        <v>3</v>
      </c>
    </row>
    <row r="13" spans="1:19" ht="23.25" x14ac:dyDescent="0.5">
      <c r="A13" s="395" t="s">
        <v>143</v>
      </c>
      <c r="B13" s="399">
        <v>3</v>
      </c>
      <c r="C13" s="399">
        <v>3</v>
      </c>
      <c r="D13" s="404">
        <v>2</v>
      </c>
      <c r="E13" s="408">
        <v>7</v>
      </c>
      <c r="F13" s="397">
        <v>5</v>
      </c>
      <c r="G13" s="398">
        <v>4</v>
      </c>
      <c r="H13" s="408">
        <v>7</v>
      </c>
      <c r="I13" s="408">
        <v>7</v>
      </c>
      <c r="J13" s="408">
        <v>7</v>
      </c>
      <c r="K13" s="408">
        <v>7</v>
      </c>
      <c r="L13" s="408">
        <v>7</v>
      </c>
      <c r="M13" s="404">
        <v>2</v>
      </c>
      <c r="N13" s="404">
        <v>2</v>
      </c>
      <c r="O13" s="406">
        <v>0</v>
      </c>
      <c r="P13" s="406">
        <v>0</v>
      </c>
      <c r="Q13" s="404">
        <v>2</v>
      </c>
      <c r="R13" s="406">
        <v>0</v>
      </c>
      <c r="S13" s="407">
        <v>0</v>
      </c>
    </row>
    <row r="14" spans="1:19" ht="23.25" x14ac:dyDescent="0.5">
      <c r="A14" s="395" t="s">
        <v>144</v>
      </c>
      <c r="B14" s="398">
        <v>4</v>
      </c>
      <c r="C14" s="399">
        <v>3</v>
      </c>
      <c r="D14" s="406">
        <v>0</v>
      </c>
      <c r="E14" s="396">
        <v>1</v>
      </c>
      <c r="F14" s="396">
        <v>1</v>
      </c>
      <c r="G14" s="396">
        <v>1</v>
      </c>
      <c r="H14" s="399">
        <v>3</v>
      </c>
      <c r="I14" s="398">
        <v>4</v>
      </c>
      <c r="J14" s="397">
        <v>5</v>
      </c>
      <c r="K14" s="408">
        <v>7</v>
      </c>
      <c r="L14" s="408">
        <v>7</v>
      </c>
      <c r="M14" s="408">
        <v>7</v>
      </c>
      <c r="N14" s="408">
        <v>7</v>
      </c>
      <c r="O14" s="408">
        <v>7</v>
      </c>
      <c r="P14" s="408">
        <v>7</v>
      </c>
      <c r="Q14" s="408">
        <v>7</v>
      </c>
      <c r="R14" s="408">
        <v>7</v>
      </c>
      <c r="S14" s="412">
        <v>7</v>
      </c>
    </row>
    <row r="15" spans="1:19" ht="23.25" x14ac:dyDescent="0.5">
      <c r="A15" s="395" t="s">
        <v>145</v>
      </c>
      <c r="B15" s="399">
        <v>3</v>
      </c>
      <c r="C15" s="399">
        <v>3</v>
      </c>
      <c r="D15" s="404">
        <v>2</v>
      </c>
      <c r="E15" s="404">
        <v>2</v>
      </c>
      <c r="F15" s="404">
        <v>2</v>
      </c>
      <c r="G15" s="404">
        <v>2</v>
      </c>
      <c r="H15" s="404">
        <v>2</v>
      </c>
      <c r="I15" s="404">
        <v>2</v>
      </c>
      <c r="J15" s="398">
        <v>4</v>
      </c>
      <c r="K15" s="398">
        <v>4</v>
      </c>
      <c r="L15" s="397">
        <v>5</v>
      </c>
      <c r="M15" s="398">
        <v>4</v>
      </c>
      <c r="N15" s="408">
        <v>7</v>
      </c>
      <c r="O15" s="408">
        <v>7</v>
      </c>
      <c r="P15" s="408">
        <v>7</v>
      </c>
      <c r="Q15" s="408">
        <v>7</v>
      </c>
      <c r="R15" s="408">
        <v>7</v>
      </c>
      <c r="S15" s="412">
        <v>7</v>
      </c>
    </row>
    <row r="16" spans="1:19" ht="23.25" x14ac:dyDescent="0.5">
      <c r="A16" s="402" t="s">
        <v>146</v>
      </c>
      <c r="B16" s="403">
        <v>6</v>
      </c>
      <c r="C16" s="403">
        <v>6</v>
      </c>
      <c r="D16" s="403">
        <v>6</v>
      </c>
      <c r="E16" s="399">
        <v>3</v>
      </c>
      <c r="F16" s="397">
        <v>5</v>
      </c>
      <c r="G16" s="408">
        <v>7</v>
      </c>
      <c r="H16" s="403">
        <v>6</v>
      </c>
      <c r="I16" s="408">
        <v>7</v>
      </c>
      <c r="J16" s="408">
        <v>7</v>
      </c>
      <c r="K16" s="408">
        <v>7</v>
      </c>
      <c r="L16" s="408">
        <v>7</v>
      </c>
      <c r="M16" s="398">
        <v>4</v>
      </c>
      <c r="N16" s="403">
        <v>6</v>
      </c>
      <c r="O16" s="397">
        <v>5</v>
      </c>
      <c r="P16" s="408">
        <v>7</v>
      </c>
      <c r="Q16" s="414">
        <v>3</v>
      </c>
      <c r="R16" s="397">
        <v>5</v>
      </c>
      <c r="S16" s="413">
        <v>3</v>
      </c>
    </row>
  </sheetData>
  <mergeCells count="2">
    <mergeCell ref="A3:A4"/>
    <mergeCell ref="B3:S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6"/>
  <sheetViews>
    <sheetView topLeftCell="A10" workbookViewId="0">
      <selection activeCell="A5" sqref="A5:A16"/>
    </sheetView>
  </sheetViews>
  <sheetFormatPr defaultRowHeight="14.25" x14ac:dyDescent="0.2"/>
  <cols>
    <col min="1" max="1" width="20.125" customWidth="1"/>
  </cols>
  <sheetData>
    <row r="3" spans="1:19" ht="23.25" customHeight="1" x14ac:dyDescent="0.5">
      <c r="A3" s="755" t="s">
        <v>133</v>
      </c>
      <c r="B3" s="757" t="s">
        <v>134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9"/>
    </row>
    <row r="4" spans="1:19" ht="23.25" x14ac:dyDescent="0.5">
      <c r="A4" s="756"/>
      <c r="B4" s="394">
        <v>21094</v>
      </c>
      <c r="C4" s="394">
        <v>21125</v>
      </c>
      <c r="D4" s="394">
        <v>21155</v>
      </c>
      <c r="E4" s="394">
        <v>21186</v>
      </c>
      <c r="F4" s="394">
        <v>21217</v>
      </c>
      <c r="G4" s="394">
        <v>21245</v>
      </c>
      <c r="H4" s="394">
        <v>21276</v>
      </c>
      <c r="I4" s="394">
        <v>21306</v>
      </c>
      <c r="J4" s="394">
        <v>21337</v>
      </c>
      <c r="K4" s="394">
        <v>21367</v>
      </c>
      <c r="L4" s="394">
        <v>21398</v>
      </c>
      <c r="M4" s="394">
        <v>21429</v>
      </c>
      <c r="N4" s="394">
        <v>21459</v>
      </c>
      <c r="O4" s="394">
        <v>21490</v>
      </c>
      <c r="P4" s="394">
        <v>21520</v>
      </c>
      <c r="Q4" s="394">
        <v>21551</v>
      </c>
      <c r="R4" s="394">
        <v>21582</v>
      </c>
      <c r="S4" s="394">
        <v>21610</v>
      </c>
    </row>
    <row r="5" spans="1:19" ht="23.25" x14ac:dyDescent="0.5">
      <c r="A5" s="395" t="s">
        <v>135</v>
      </c>
      <c r="B5" s="396">
        <v>1</v>
      </c>
      <c r="C5" s="397">
        <v>5</v>
      </c>
      <c r="D5" s="398">
        <v>4</v>
      </c>
      <c r="E5" s="398">
        <v>4</v>
      </c>
      <c r="F5" s="399">
        <v>3</v>
      </c>
      <c r="G5" s="399">
        <v>3</v>
      </c>
      <c r="H5" s="397">
        <v>5</v>
      </c>
      <c r="I5" s="397">
        <v>5</v>
      </c>
      <c r="J5" s="398">
        <v>4</v>
      </c>
      <c r="K5" s="397">
        <v>5</v>
      </c>
      <c r="L5" s="397">
        <v>5</v>
      </c>
      <c r="M5" s="397">
        <v>5</v>
      </c>
      <c r="N5" s="399">
        <v>3</v>
      </c>
      <c r="O5" s="399">
        <v>3</v>
      </c>
      <c r="P5" s="398">
        <v>4</v>
      </c>
      <c r="Q5" s="399">
        <v>3</v>
      </c>
      <c r="R5" s="400">
        <v>3</v>
      </c>
      <c r="S5" s="401">
        <v>2</v>
      </c>
    </row>
    <row r="6" spans="1:19" ht="23.25" x14ac:dyDescent="0.5">
      <c r="A6" s="402" t="s">
        <v>136</v>
      </c>
      <c r="B6" s="403">
        <v>6</v>
      </c>
      <c r="C6" s="403">
        <v>6</v>
      </c>
      <c r="D6" s="398">
        <v>4</v>
      </c>
      <c r="E6" s="404">
        <v>2</v>
      </c>
      <c r="F6" s="396">
        <v>1</v>
      </c>
      <c r="G6" s="396">
        <v>1</v>
      </c>
      <c r="H6" s="396">
        <v>1</v>
      </c>
      <c r="I6" s="396">
        <v>1</v>
      </c>
      <c r="J6" s="396">
        <v>1</v>
      </c>
      <c r="K6" s="396">
        <v>1</v>
      </c>
      <c r="L6" s="396">
        <v>1</v>
      </c>
      <c r="M6" s="399">
        <v>3</v>
      </c>
      <c r="N6" s="397">
        <v>5</v>
      </c>
      <c r="O6" s="398">
        <v>4</v>
      </c>
      <c r="P6" s="398">
        <v>4</v>
      </c>
      <c r="Q6" s="403">
        <v>6</v>
      </c>
      <c r="R6" s="403">
        <v>6</v>
      </c>
      <c r="S6" s="405">
        <v>4</v>
      </c>
    </row>
    <row r="7" spans="1:19" ht="23.25" x14ac:dyDescent="0.5">
      <c r="A7" s="395" t="s">
        <v>137</v>
      </c>
      <c r="B7" s="406">
        <v>0</v>
      </c>
      <c r="C7" s="406">
        <v>0</v>
      </c>
      <c r="D7" s="406">
        <v>0</v>
      </c>
      <c r="E7" s="406">
        <v>0</v>
      </c>
      <c r="F7" s="406">
        <v>0</v>
      </c>
      <c r="G7" s="406">
        <v>0</v>
      </c>
      <c r="H7" s="406">
        <v>0</v>
      </c>
      <c r="I7" s="406">
        <v>0</v>
      </c>
      <c r="J7" s="406">
        <v>0</v>
      </c>
      <c r="K7" s="396">
        <v>1</v>
      </c>
      <c r="L7" s="396">
        <v>1</v>
      </c>
      <c r="M7" s="396">
        <v>1</v>
      </c>
      <c r="N7" s="406">
        <v>0</v>
      </c>
      <c r="O7" s="396">
        <v>1</v>
      </c>
      <c r="P7" s="396">
        <v>1</v>
      </c>
      <c r="Q7" s="406">
        <v>0</v>
      </c>
      <c r="R7" s="404">
        <v>2</v>
      </c>
      <c r="S7" s="407">
        <v>0</v>
      </c>
    </row>
    <row r="8" spans="1:19" ht="23.25" x14ac:dyDescent="0.5">
      <c r="A8" s="395" t="s">
        <v>138</v>
      </c>
      <c r="B8" s="396">
        <v>1</v>
      </c>
      <c r="C8" s="396">
        <v>1</v>
      </c>
      <c r="D8" s="406">
        <v>0</v>
      </c>
      <c r="E8" s="406">
        <v>0</v>
      </c>
      <c r="F8" s="406">
        <v>0</v>
      </c>
      <c r="G8" s="406">
        <v>0</v>
      </c>
      <c r="H8" s="406">
        <v>0</v>
      </c>
      <c r="I8" s="406">
        <v>0</v>
      </c>
      <c r="J8" s="399">
        <v>3</v>
      </c>
      <c r="K8" s="404">
        <v>2</v>
      </c>
      <c r="L8" s="404">
        <v>2</v>
      </c>
      <c r="M8" s="408">
        <v>7</v>
      </c>
      <c r="N8" s="406">
        <v>0</v>
      </c>
      <c r="O8" s="396">
        <v>1</v>
      </c>
      <c r="P8" s="396">
        <v>1</v>
      </c>
      <c r="Q8" s="404">
        <v>2</v>
      </c>
      <c r="R8" s="396">
        <v>1</v>
      </c>
      <c r="S8" s="409">
        <v>1</v>
      </c>
    </row>
    <row r="9" spans="1:19" ht="23.25" x14ac:dyDescent="0.5">
      <c r="A9" s="395" t="s">
        <v>139</v>
      </c>
      <c r="B9" s="396">
        <v>1</v>
      </c>
      <c r="C9" s="406">
        <v>0</v>
      </c>
      <c r="D9" s="396">
        <v>1</v>
      </c>
      <c r="E9" s="406">
        <v>0</v>
      </c>
      <c r="F9" s="406">
        <v>0</v>
      </c>
      <c r="G9" s="406">
        <v>0</v>
      </c>
      <c r="H9" s="406">
        <v>0</v>
      </c>
      <c r="I9" s="396">
        <v>1</v>
      </c>
      <c r="J9" s="396">
        <v>1</v>
      </c>
      <c r="K9" s="396">
        <v>1</v>
      </c>
      <c r="L9" s="396">
        <v>1</v>
      </c>
      <c r="M9" s="396">
        <v>1</v>
      </c>
      <c r="N9" s="396">
        <v>1</v>
      </c>
      <c r="O9" s="406">
        <v>0</v>
      </c>
      <c r="P9" s="396">
        <v>1</v>
      </c>
      <c r="Q9" s="406">
        <v>0</v>
      </c>
      <c r="R9" s="406">
        <v>0</v>
      </c>
      <c r="S9" s="410">
        <v>1</v>
      </c>
    </row>
    <row r="10" spans="1:19" ht="23.25" x14ac:dyDescent="0.5">
      <c r="A10" s="395" t="s">
        <v>140</v>
      </c>
      <c r="B10" s="396">
        <v>1</v>
      </c>
      <c r="C10" s="396">
        <v>1</v>
      </c>
      <c r="D10" s="406">
        <v>0</v>
      </c>
      <c r="E10" s="396">
        <v>1</v>
      </c>
      <c r="F10" s="396">
        <v>1</v>
      </c>
      <c r="G10" s="396">
        <v>1</v>
      </c>
      <c r="H10" s="396">
        <v>1</v>
      </c>
      <c r="I10" s="396">
        <v>1</v>
      </c>
      <c r="J10" s="396">
        <v>1</v>
      </c>
      <c r="K10" s="396">
        <v>1</v>
      </c>
      <c r="L10" s="404">
        <v>2</v>
      </c>
      <c r="M10" s="404">
        <v>2</v>
      </c>
      <c r="N10" s="404">
        <v>2</v>
      </c>
      <c r="O10" s="406">
        <v>0</v>
      </c>
      <c r="P10" s="406">
        <v>0</v>
      </c>
      <c r="Q10" s="404">
        <v>2</v>
      </c>
      <c r="R10" s="404">
        <v>2</v>
      </c>
      <c r="S10" s="411">
        <v>2</v>
      </c>
    </row>
    <row r="11" spans="1:19" ht="23.25" x14ac:dyDescent="0.5">
      <c r="A11" s="395" t="s">
        <v>141</v>
      </c>
      <c r="B11" s="408">
        <v>7</v>
      </c>
      <c r="C11" s="408">
        <v>7</v>
      </c>
      <c r="D11" s="404">
        <v>2</v>
      </c>
      <c r="E11" s="404">
        <v>2</v>
      </c>
      <c r="F11" s="404">
        <v>2</v>
      </c>
      <c r="G11" s="404">
        <v>2</v>
      </c>
      <c r="H11" s="398">
        <v>4</v>
      </c>
      <c r="I11" s="408">
        <v>7</v>
      </c>
      <c r="J11" s="408">
        <v>7</v>
      </c>
      <c r="K11" s="408">
        <v>7</v>
      </c>
      <c r="L11" s="408">
        <v>7</v>
      </c>
      <c r="M11" s="408">
        <v>7</v>
      </c>
      <c r="N11" s="408">
        <v>7</v>
      </c>
      <c r="O11" s="408">
        <v>7</v>
      </c>
      <c r="P11" s="408">
        <v>7</v>
      </c>
      <c r="Q11" s="408">
        <v>7</v>
      </c>
      <c r="R11" s="398">
        <v>4</v>
      </c>
      <c r="S11" s="412">
        <v>7</v>
      </c>
    </row>
    <row r="12" spans="1:19" ht="23.25" x14ac:dyDescent="0.5">
      <c r="A12" s="395" t="s">
        <v>142</v>
      </c>
      <c r="B12" s="396">
        <v>1</v>
      </c>
      <c r="C12" s="396">
        <v>1</v>
      </c>
      <c r="D12" s="406">
        <v>0</v>
      </c>
      <c r="E12" s="406">
        <v>0</v>
      </c>
      <c r="F12" s="396">
        <v>1</v>
      </c>
      <c r="G12" s="396">
        <v>1</v>
      </c>
      <c r="H12" s="399">
        <v>3</v>
      </c>
      <c r="I12" s="398">
        <v>4</v>
      </c>
      <c r="J12" s="403">
        <v>6</v>
      </c>
      <c r="K12" s="408">
        <v>7</v>
      </c>
      <c r="L12" s="408">
        <v>7</v>
      </c>
      <c r="M12" s="408">
        <v>7</v>
      </c>
      <c r="N12" s="408">
        <v>7</v>
      </c>
      <c r="O12" s="399">
        <v>3</v>
      </c>
      <c r="P12" s="398">
        <v>4</v>
      </c>
      <c r="Q12" s="399">
        <v>3</v>
      </c>
      <c r="R12" s="408">
        <v>7</v>
      </c>
      <c r="S12" s="413">
        <v>3</v>
      </c>
    </row>
    <row r="13" spans="1:19" ht="23.25" x14ac:dyDescent="0.5">
      <c r="A13" s="395" t="s">
        <v>143</v>
      </c>
      <c r="B13" s="399">
        <v>3</v>
      </c>
      <c r="C13" s="399">
        <v>3</v>
      </c>
      <c r="D13" s="404">
        <v>2</v>
      </c>
      <c r="E13" s="408">
        <v>7</v>
      </c>
      <c r="F13" s="397">
        <v>5</v>
      </c>
      <c r="G13" s="398">
        <v>4</v>
      </c>
      <c r="H13" s="408">
        <v>7</v>
      </c>
      <c r="I13" s="408">
        <v>7</v>
      </c>
      <c r="J13" s="408">
        <v>7</v>
      </c>
      <c r="K13" s="408">
        <v>7</v>
      </c>
      <c r="L13" s="408">
        <v>7</v>
      </c>
      <c r="M13" s="404">
        <v>2</v>
      </c>
      <c r="N13" s="404">
        <v>2</v>
      </c>
      <c r="O13" s="406">
        <v>0</v>
      </c>
      <c r="P13" s="406">
        <v>0</v>
      </c>
      <c r="Q13" s="404">
        <v>2</v>
      </c>
      <c r="R13" s="406">
        <v>0</v>
      </c>
      <c r="S13" s="407">
        <v>0</v>
      </c>
    </row>
    <row r="14" spans="1:19" ht="23.25" x14ac:dyDescent="0.5">
      <c r="A14" s="395" t="s">
        <v>144</v>
      </c>
      <c r="B14" s="398">
        <v>4</v>
      </c>
      <c r="C14" s="399">
        <v>3</v>
      </c>
      <c r="D14" s="406">
        <v>0</v>
      </c>
      <c r="E14" s="396">
        <v>1</v>
      </c>
      <c r="F14" s="396">
        <v>1</v>
      </c>
      <c r="G14" s="396">
        <v>1</v>
      </c>
      <c r="H14" s="399">
        <v>3</v>
      </c>
      <c r="I14" s="398">
        <v>4</v>
      </c>
      <c r="J14" s="397">
        <v>5</v>
      </c>
      <c r="K14" s="408">
        <v>7</v>
      </c>
      <c r="L14" s="408">
        <v>7</v>
      </c>
      <c r="M14" s="408">
        <v>7</v>
      </c>
      <c r="N14" s="408">
        <v>7</v>
      </c>
      <c r="O14" s="408">
        <v>7</v>
      </c>
      <c r="P14" s="408">
        <v>7</v>
      </c>
      <c r="Q14" s="408">
        <v>7</v>
      </c>
      <c r="R14" s="408">
        <v>7</v>
      </c>
      <c r="S14" s="412">
        <v>7</v>
      </c>
    </row>
    <row r="15" spans="1:19" ht="23.25" x14ac:dyDescent="0.5">
      <c r="A15" s="395" t="s">
        <v>145</v>
      </c>
      <c r="B15" s="399">
        <v>3</v>
      </c>
      <c r="C15" s="399">
        <v>3</v>
      </c>
      <c r="D15" s="404">
        <v>2</v>
      </c>
      <c r="E15" s="404">
        <v>2</v>
      </c>
      <c r="F15" s="404">
        <v>2</v>
      </c>
      <c r="G15" s="404">
        <v>2</v>
      </c>
      <c r="H15" s="404">
        <v>2</v>
      </c>
      <c r="I15" s="404">
        <v>2</v>
      </c>
      <c r="J15" s="398">
        <v>4</v>
      </c>
      <c r="K15" s="398">
        <v>4</v>
      </c>
      <c r="L15" s="397">
        <v>5</v>
      </c>
      <c r="M15" s="398">
        <v>4</v>
      </c>
      <c r="N15" s="408">
        <v>7</v>
      </c>
      <c r="O15" s="408">
        <v>7</v>
      </c>
      <c r="P15" s="408">
        <v>7</v>
      </c>
      <c r="Q15" s="408">
        <v>7</v>
      </c>
      <c r="R15" s="408">
        <v>7</v>
      </c>
      <c r="S15" s="412">
        <v>7</v>
      </c>
    </row>
    <row r="16" spans="1:19" ht="23.25" x14ac:dyDescent="0.5">
      <c r="A16" s="402" t="s">
        <v>146</v>
      </c>
      <c r="B16" s="403">
        <v>6</v>
      </c>
      <c r="C16" s="403">
        <v>6</v>
      </c>
      <c r="D16" s="403">
        <v>6</v>
      </c>
      <c r="E16" s="399">
        <v>3</v>
      </c>
      <c r="F16" s="397">
        <v>5</v>
      </c>
      <c r="G16" s="408">
        <v>7</v>
      </c>
      <c r="H16" s="403">
        <v>6</v>
      </c>
      <c r="I16" s="408">
        <v>7</v>
      </c>
      <c r="J16" s="408">
        <v>7</v>
      </c>
      <c r="K16" s="408">
        <v>7</v>
      </c>
      <c r="L16" s="408">
        <v>7</v>
      </c>
      <c r="M16" s="398">
        <v>4</v>
      </c>
      <c r="N16" s="403">
        <v>6</v>
      </c>
      <c r="O16" s="397">
        <v>5</v>
      </c>
      <c r="P16" s="408">
        <v>7</v>
      </c>
      <c r="Q16" s="414">
        <v>3</v>
      </c>
      <c r="R16" s="397">
        <v>5</v>
      </c>
      <c r="S16" s="413">
        <v>3</v>
      </c>
    </row>
  </sheetData>
  <mergeCells count="2">
    <mergeCell ref="A3:A4"/>
    <mergeCell ref="B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L6" sqref="L6:L21"/>
    </sheetView>
  </sheetViews>
  <sheetFormatPr defaultRowHeight="14.25" x14ac:dyDescent="0.2"/>
  <cols>
    <col min="5" max="5" width="14.375" customWidth="1"/>
    <col min="6" max="6" width="13.5" customWidth="1"/>
    <col min="7" max="7" width="13" bestFit="1" customWidth="1"/>
  </cols>
  <sheetData>
    <row r="2" spans="1:14" x14ac:dyDescent="0.2">
      <c r="A2" s="368">
        <v>21245</v>
      </c>
    </row>
    <row r="3" spans="1:14" ht="15" thickBot="1" x14ac:dyDescent="0.25"/>
    <row r="4" spans="1:14" x14ac:dyDescent="0.2">
      <c r="A4" s="655" t="s">
        <v>1</v>
      </c>
      <c r="B4" s="337" t="s">
        <v>119</v>
      </c>
      <c r="C4" s="337" t="s">
        <v>120</v>
      </c>
      <c r="D4" s="337" t="s">
        <v>121</v>
      </c>
      <c r="E4" s="337" t="s">
        <v>122</v>
      </c>
      <c r="F4" s="337" t="s">
        <v>124</v>
      </c>
      <c r="G4" s="657" t="s">
        <v>126</v>
      </c>
      <c r="H4" s="340" t="s">
        <v>8</v>
      </c>
      <c r="I4" s="659" t="s">
        <v>102</v>
      </c>
      <c r="J4" s="659" t="s">
        <v>103</v>
      </c>
      <c r="K4" s="659" t="s">
        <v>104</v>
      </c>
      <c r="L4" s="653" t="s">
        <v>127</v>
      </c>
      <c r="M4" s="653" t="s">
        <v>128</v>
      </c>
    </row>
    <row r="5" spans="1:14" ht="15" thickBot="1" x14ac:dyDescent="0.25">
      <c r="A5" s="656"/>
      <c r="B5" s="338">
        <v>-1.5</v>
      </c>
      <c r="C5" s="338">
        <v>-1</v>
      </c>
      <c r="D5" s="339">
        <v>-0.8</v>
      </c>
      <c r="E5" s="339" t="s">
        <v>123</v>
      </c>
      <c r="F5" s="339" t="s">
        <v>125</v>
      </c>
      <c r="G5" s="658"/>
      <c r="H5" s="341"/>
      <c r="I5" s="660"/>
      <c r="J5" s="660"/>
      <c r="K5" s="660"/>
      <c r="L5" s="654"/>
      <c r="M5" s="654"/>
    </row>
    <row r="6" spans="1:14" ht="24.75" thickTop="1" thickBot="1" x14ac:dyDescent="0.55000000000000004">
      <c r="A6" s="342" t="s">
        <v>12</v>
      </c>
      <c r="B6" s="343">
        <v>5.15</v>
      </c>
      <c r="C6" s="344">
        <v>4.99</v>
      </c>
      <c r="D6" s="345">
        <v>3.61</v>
      </c>
      <c r="E6" s="346">
        <v>643408062.59000003</v>
      </c>
      <c r="F6" s="346">
        <v>29267807.300000001</v>
      </c>
      <c r="G6" s="347">
        <v>4877967.88</v>
      </c>
      <c r="H6" s="348">
        <v>131.9</v>
      </c>
      <c r="I6" s="349">
        <v>0</v>
      </c>
      <c r="J6" s="350">
        <v>0</v>
      </c>
      <c r="K6" s="350">
        <v>0</v>
      </c>
      <c r="L6" s="351">
        <v>0</v>
      </c>
      <c r="M6" s="351">
        <v>0</v>
      </c>
      <c r="N6" t="s">
        <v>12</v>
      </c>
    </row>
    <row r="7" spans="1:14" ht="24.75" thickTop="1" thickBot="1" x14ac:dyDescent="0.55000000000000004">
      <c r="A7" s="352" t="s">
        <v>13</v>
      </c>
      <c r="B7" s="345">
        <v>2.2200000000000002</v>
      </c>
      <c r="C7" s="345">
        <v>2.04</v>
      </c>
      <c r="D7" s="345">
        <v>1.53</v>
      </c>
      <c r="E7" s="353">
        <v>85349155.159999996</v>
      </c>
      <c r="F7" s="353">
        <v>11818558.279999999</v>
      </c>
      <c r="G7" s="347">
        <v>1969759.71</v>
      </c>
      <c r="H7" s="348">
        <v>43.33</v>
      </c>
      <c r="I7" s="349">
        <v>0</v>
      </c>
      <c r="J7" s="350">
        <v>0</v>
      </c>
      <c r="K7" s="350">
        <v>0</v>
      </c>
      <c r="L7" s="351">
        <v>0</v>
      </c>
      <c r="M7" s="351">
        <v>0</v>
      </c>
      <c r="N7" t="s">
        <v>13</v>
      </c>
    </row>
    <row r="8" spans="1:14" ht="24.75" thickTop="1" thickBot="1" x14ac:dyDescent="0.55000000000000004">
      <c r="A8" s="352" t="s">
        <v>14</v>
      </c>
      <c r="B8" s="354">
        <v>1.41</v>
      </c>
      <c r="C8" s="345">
        <v>1.27</v>
      </c>
      <c r="D8" s="345">
        <v>1.01</v>
      </c>
      <c r="E8" s="346">
        <v>11140013.560000001</v>
      </c>
      <c r="F8" s="353">
        <v>1516708.52</v>
      </c>
      <c r="G8" s="347">
        <v>252784.75</v>
      </c>
      <c r="H8" s="348">
        <v>44.07</v>
      </c>
      <c r="I8" s="355">
        <v>1</v>
      </c>
      <c r="J8" s="350">
        <v>0</v>
      </c>
      <c r="K8" s="350">
        <v>0</v>
      </c>
      <c r="L8" s="356">
        <v>1</v>
      </c>
      <c r="M8" s="356">
        <v>1</v>
      </c>
      <c r="N8" t="s">
        <v>14</v>
      </c>
    </row>
    <row r="9" spans="1:14" ht="48" thickTop="1" thickBot="1" x14ac:dyDescent="0.55000000000000004">
      <c r="A9" s="352" t="s">
        <v>15</v>
      </c>
      <c r="B9" s="357">
        <v>2.25</v>
      </c>
      <c r="C9" s="357">
        <v>2.13</v>
      </c>
      <c r="D9" s="357">
        <v>1.88</v>
      </c>
      <c r="E9" s="346">
        <v>26679469.579999998</v>
      </c>
      <c r="F9" s="346">
        <v>2164871.77</v>
      </c>
      <c r="G9" s="347">
        <v>360811.96</v>
      </c>
      <c r="H9" s="348">
        <v>73.94</v>
      </c>
      <c r="I9" s="349">
        <v>0</v>
      </c>
      <c r="J9" s="350">
        <v>0</v>
      </c>
      <c r="K9" s="350">
        <v>0</v>
      </c>
      <c r="L9" s="351">
        <v>0</v>
      </c>
      <c r="M9" s="351">
        <v>0</v>
      </c>
      <c r="N9" t="s">
        <v>15</v>
      </c>
    </row>
    <row r="10" spans="1:14" ht="48" thickTop="1" thickBot="1" x14ac:dyDescent="0.55000000000000004">
      <c r="A10" s="352" t="s">
        <v>16</v>
      </c>
      <c r="B10" s="357">
        <v>1.83</v>
      </c>
      <c r="C10" s="357">
        <v>1.62</v>
      </c>
      <c r="D10" s="345">
        <v>1.42</v>
      </c>
      <c r="E10" s="346">
        <v>16045997.810000001</v>
      </c>
      <c r="F10" s="353">
        <v>233492.71</v>
      </c>
      <c r="G10" s="347">
        <v>38915.449999999997</v>
      </c>
      <c r="H10" s="348">
        <v>412.33</v>
      </c>
      <c r="I10" s="349">
        <v>0</v>
      </c>
      <c r="J10" s="350">
        <v>0</v>
      </c>
      <c r="K10" s="350">
        <v>0</v>
      </c>
      <c r="L10" s="351">
        <v>0</v>
      </c>
      <c r="M10" s="351">
        <v>0</v>
      </c>
      <c r="N10" t="s">
        <v>16</v>
      </c>
    </row>
    <row r="11" spans="1:14" ht="48" thickTop="1" thickBot="1" x14ac:dyDescent="0.55000000000000004">
      <c r="A11" s="352" t="s">
        <v>17</v>
      </c>
      <c r="B11" s="354">
        <v>1.07</v>
      </c>
      <c r="C11" s="354">
        <v>0.97</v>
      </c>
      <c r="D11" s="357">
        <v>0.8</v>
      </c>
      <c r="E11" s="346">
        <v>1293001.8400000001</v>
      </c>
      <c r="F11" s="358">
        <v>-263097.44</v>
      </c>
      <c r="G11" s="359">
        <v>-43849.57</v>
      </c>
      <c r="H11" s="360">
        <v>29.49</v>
      </c>
      <c r="I11" s="355">
        <v>2</v>
      </c>
      <c r="J11" s="361">
        <v>1</v>
      </c>
      <c r="K11" s="350">
        <v>0</v>
      </c>
      <c r="L11" s="356">
        <v>3</v>
      </c>
      <c r="M11" s="356">
        <v>1</v>
      </c>
      <c r="N11" t="s">
        <v>17</v>
      </c>
    </row>
    <row r="12" spans="1:14" ht="48" thickTop="1" thickBot="1" x14ac:dyDescent="0.55000000000000004">
      <c r="A12" s="352" t="s">
        <v>18</v>
      </c>
      <c r="B12" s="345">
        <v>6.22</v>
      </c>
      <c r="C12" s="357">
        <v>5.58</v>
      </c>
      <c r="D12" s="345">
        <v>5.01</v>
      </c>
      <c r="E12" s="346">
        <v>109168265.12</v>
      </c>
      <c r="F12" s="353">
        <v>22025380.75</v>
      </c>
      <c r="G12" s="347">
        <v>3670896.79</v>
      </c>
      <c r="H12" s="362">
        <v>29.74</v>
      </c>
      <c r="I12" s="349">
        <v>0</v>
      </c>
      <c r="J12" s="350">
        <v>0</v>
      </c>
      <c r="K12" s="350">
        <v>0</v>
      </c>
      <c r="L12" s="351">
        <v>0</v>
      </c>
      <c r="M12" s="351">
        <v>0</v>
      </c>
      <c r="N12" t="s">
        <v>18</v>
      </c>
    </row>
    <row r="13" spans="1:14" ht="43.5" thickTop="1" thickBot="1" x14ac:dyDescent="0.5">
      <c r="A13" s="363" t="s">
        <v>19</v>
      </c>
      <c r="B13" s="364">
        <v>1.1200000000000001</v>
      </c>
      <c r="C13" s="345">
        <v>1</v>
      </c>
      <c r="D13" s="364">
        <v>0.69</v>
      </c>
      <c r="E13" s="353">
        <v>3152190.22</v>
      </c>
      <c r="F13" s="365">
        <v>-4990947.83</v>
      </c>
      <c r="G13" s="359">
        <v>-831824.64</v>
      </c>
      <c r="H13" s="360">
        <v>3.79</v>
      </c>
      <c r="I13" s="355">
        <v>2</v>
      </c>
      <c r="J13" s="361">
        <v>1</v>
      </c>
      <c r="K13" s="361">
        <v>2</v>
      </c>
      <c r="L13" s="356">
        <v>5</v>
      </c>
      <c r="M13" s="356">
        <v>4</v>
      </c>
      <c r="N13" t="s">
        <v>19</v>
      </c>
    </row>
    <row r="14" spans="1:14" ht="24.75" thickTop="1" thickBot="1" x14ac:dyDescent="0.55000000000000004">
      <c r="A14" s="352" t="s">
        <v>20</v>
      </c>
      <c r="B14" s="357">
        <v>1.65</v>
      </c>
      <c r="C14" s="345">
        <v>1.49</v>
      </c>
      <c r="D14" s="345">
        <v>1.26</v>
      </c>
      <c r="E14" s="346">
        <v>12472049.76</v>
      </c>
      <c r="F14" s="365">
        <v>-2984788.74</v>
      </c>
      <c r="G14" s="359">
        <v>-497464.79</v>
      </c>
      <c r="H14" s="360">
        <v>25.07</v>
      </c>
      <c r="I14" s="349">
        <v>0</v>
      </c>
      <c r="J14" s="361">
        <v>1</v>
      </c>
      <c r="K14" s="350">
        <v>0</v>
      </c>
      <c r="L14" s="356">
        <v>1</v>
      </c>
      <c r="M14" s="351">
        <v>0</v>
      </c>
      <c r="N14" t="s">
        <v>20</v>
      </c>
    </row>
    <row r="15" spans="1:14" ht="24.75" thickTop="1" thickBot="1" x14ac:dyDescent="0.55000000000000004">
      <c r="A15" s="352" t="s">
        <v>21</v>
      </c>
      <c r="B15" s="357">
        <v>1.94</v>
      </c>
      <c r="C15" s="345">
        <v>1.68</v>
      </c>
      <c r="D15" s="345">
        <v>1.41</v>
      </c>
      <c r="E15" s="353">
        <v>12832414.24</v>
      </c>
      <c r="F15" s="353">
        <v>945086.65</v>
      </c>
      <c r="G15" s="347">
        <v>157514.44</v>
      </c>
      <c r="H15" s="362">
        <v>81.47</v>
      </c>
      <c r="I15" s="349">
        <v>0</v>
      </c>
      <c r="J15" s="350">
        <v>0</v>
      </c>
      <c r="K15" s="350">
        <v>0</v>
      </c>
      <c r="L15" s="351">
        <v>0</v>
      </c>
      <c r="M15" s="351">
        <v>0</v>
      </c>
      <c r="N15" t="s">
        <v>21</v>
      </c>
    </row>
    <row r="16" spans="1:14" ht="48" thickTop="1" thickBot="1" x14ac:dyDescent="0.55000000000000004">
      <c r="A16" s="352" t="s">
        <v>22</v>
      </c>
      <c r="B16" s="345">
        <v>1.54</v>
      </c>
      <c r="C16" s="345">
        <v>1.19</v>
      </c>
      <c r="D16" s="345">
        <v>0.81</v>
      </c>
      <c r="E16" s="353">
        <v>6230441.2800000003</v>
      </c>
      <c r="F16" s="353">
        <v>7214722.3899999997</v>
      </c>
      <c r="G16" s="347">
        <v>1202453.73</v>
      </c>
      <c r="H16" s="362">
        <v>5.18</v>
      </c>
      <c r="I16" s="349">
        <v>0</v>
      </c>
      <c r="J16" s="350">
        <v>0</v>
      </c>
      <c r="K16" s="350">
        <v>0</v>
      </c>
      <c r="L16" s="351">
        <v>0</v>
      </c>
      <c r="M16" s="351">
        <v>0</v>
      </c>
      <c r="N16" t="s">
        <v>22</v>
      </c>
    </row>
    <row r="17" spans="1:14" ht="48" thickTop="1" thickBot="1" x14ac:dyDescent="0.55000000000000004">
      <c r="A17" s="352" t="s">
        <v>23</v>
      </c>
      <c r="B17" s="345">
        <v>5.18</v>
      </c>
      <c r="C17" s="345">
        <v>5.01</v>
      </c>
      <c r="D17" s="357">
        <v>4.76</v>
      </c>
      <c r="E17" s="346">
        <v>122695328.91</v>
      </c>
      <c r="F17" s="353">
        <v>15069928.369999999</v>
      </c>
      <c r="G17" s="347">
        <v>2511654.73</v>
      </c>
      <c r="H17" s="362">
        <v>48.85</v>
      </c>
      <c r="I17" s="349">
        <v>0</v>
      </c>
      <c r="J17" s="350">
        <v>0</v>
      </c>
      <c r="K17" s="350">
        <v>0</v>
      </c>
      <c r="L17" s="351">
        <v>0</v>
      </c>
      <c r="M17" s="351">
        <v>0</v>
      </c>
      <c r="N17" t="s">
        <v>23</v>
      </c>
    </row>
    <row r="18" spans="1:14" ht="48" thickTop="1" thickBot="1" x14ac:dyDescent="0.55000000000000004">
      <c r="A18" s="352" t="s">
        <v>24</v>
      </c>
      <c r="B18" s="357">
        <v>3.87</v>
      </c>
      <c r="C18" s="345">
        <v>3.63</v>
      </c>
      <c r="D18" s="357">
        <v>3.35</v>
      </c>
      <c r="E18" s="366">
        <v>15905601.74</v>
      </c>
      <c r="F18" s="367">
        <v>513760.53</v>
      </c>
      <c r="G18" s="347">
        <v>85626.76</v>
      </c>
      <c r="H18" s="362">
        <v>185.76</v>
      </c>
      <c r="I18" s="349">
        <v>0</v>
      </c>
      <c r="J18" s="350">
        <v>0</v>
      </c>
      <c r="K18" s="350">
        <v>0</v>
      </c>
      <c r="L18" s="351">
        <v>0</v>
      </c>
      <c r="M18" s="351">
        <v>0</v>
      </c>
      <c r="N18" t="s">
        <v>24</v>
      </c>
    </row>
    <row r="19" spans="1:14" ht="48" thickTop="1" thickBot="1" x14ac:dyDescent="0.55000000000000004">
      <c r="A19" s="352" t="s">
        <v>26</v>
      </c>
      <c r="B19" s="364">
        <v>0.66</v>
      </c>
      <c r="C19" s="364">
        <v>0.6</v>
      </c>
      <c r="D19" s="354">
        <v>0.45</v>
      </c>
      <c r="E19" s="358">
        <v>-8123111.7300000004</v>
      </c>
      <c r="F19" s="365">
        <v>-2168331.84</v>
      </c>
      <c r="G19" s="359">
        <v>-361388.64</v>
      </c>
      <c r="H19" s="360"/>
      <c r="I19" s="355">
        <v>3</v>
      </c>
      <c r="J19" s="361">
        <v>2</v>
      </c>
      <c r="K19" s="361">
        <v>2</v>
      </c>
      <c r="L19" s="356">
        <v>7</v>
      </c>
      <c r="M19" s="356">
        <v>7</v>
      </c>
      <c r="N19" t="s">
        <v>26</v>
      </c>
    </row>
    <row r="20" spans="1:14" ht="24.75" thickTop="1" thickBot="1" x14ac:dyDescent="0.55000000000000004">
      <c r="A20" s="352" t="s">
        <v>25</v>
      </c>
      <c r="B20" s="357">
        <v>1.89</v>
      </c>
      <c r="C20" s="357">
        <v>1.71</v>
      </c>
      <c r="D20" s="345">
        <v>1.0900000000000001</v>
      </c>
      <c r="E20" s="353">
        <v>12782174.199999999</v>
      </c>
      <c r="F20" s="353">
        <v>2239722.0499999998</v>
      </c>
      <c r="G20" s="347">
        <v>373287.01</v>
      </c>
      <c r="H20" s="362">
        <v>34.24</v>
      </c>
      <c r="I20" s="349">
        <v>0</v>
      </c>
      <c r="J20" s="350">
        <v>0</v>
      </c>
      <c r="K20" s="350">
        <v>0</v>
      </c>
      <c r="L20" s="351">
        <v>0</v>
      </c>
      <c r="M20" s="351">
        <v>0</v>
      </c>
      <c r="N20" t="s">
        <v>25</v>
      </c>
    </row>
    <row r="21" spans="1:14" ht="43.5" thickTop="1" thickBot="1" x14ac:dyDescent="0.5">
      <c r="A21" s="363" t="s">
        <v>27</v>
      </c>
      <c r="B21" s="354">
        <v>1.2</v>
      </c>
      <c r="C21" s="357">
        <v>1.07</v>
      </c>
      <c r="D21" s="354">
        <v>0.72</v>
      </c>
      <c r="E21" s="353">
        <v>1764686.21</v>
      </c>
      <c r="F21" s="365">
        <v>-2123429.5699999998</v>
      </c>
      <c r="G21" s="359">
        <v>-353904.93</v>
      </c>
      <c r="H21" s="360">
        <v>4.99</v>
      </c>
      <c r="I21" s="355">
        <v>2</v>
      </c>
      <c r="J21" s="361">
        <v>1</v>
      </c>
      <c r="K21" s="361">
        <v>1</v>
      </c>
      <c r="L21" s="356">
        <v>4</v>
      </c>
      <c r="M21" s="356">
        <v>4</v>
      </c>
      <c r="N21" t="s">
        <v>27</v>
      </c>
    </row>
  </sheetData>
  <mergeCells count="7">
    <mergeCell ref="M4:M5"/>
    <mergeCell ref="A4:A5"/>
    <mergeCell ref="G4:G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C2" sqref="C2"/>
    </sheetView>
  </sheetViews>
  <sheetFormatPr defaultRowHeight="14.25" x14ac:dyDescent="0.2"/>
  <sheetData>
    <row r="2" spans="2:11" ht="126" x14ac:dyDescent="0.25">
      <c r="B2" s="617" t="s">
        <v>133</v>
      </c>
      <c r="C2" s="616" t="s">
        <v>236</v>
      </c>
      <c r="D2" s="616" t="s">
        <v>257</v>
      </c>
      <c r="E2" s="616" t="s">
        <v>258</v>
      </c>
      <c r="F2" s="616" t="s">
        <v>260</v>
      </c>
      <c r="G2" s="616" t="s">
        <v>261</v>
      </c>
      <c r="H2" s="616" t="s">
        <v>262</v>
      </c>
      <c r="I2" s="616" t="s">
        <v>259</v>
      </c>
      <c r="J2" s="616" t="s">
        <v>227</v>
      </c>
      <c r="K2" s="616" t="s">
        <v>263</v>
      </c>
    </row>
    <row r="3" spans="2:11" ht="31.5" x14ac:dyDescent="0.25">
      <c r="B3" s="618" t="s">
        <v>19</v>
      </c>
      <c r="C3" s="619">
        <v>2.71</v>
      </c>
      <c r="D3" s="619">
        <v>8.8699999999999992</v>
      </c>
      <c r="E3" s="619">
        <v>2161.71</v>
      </c>
      <c r="F3" s="619">
        <v>48.07</v>
      </c>
      <c r="G3" s="619">
        <v>72.790000000000006</v>
      </c>
      <c r="H3" s="619">
        <v>282.29000000000002</v>
      </c>
      <c r="I3" s="619">
        <v>20.29</v>
      </c>
      <c r="J3" s="619">
        <v>4</v>
      </c>
      <c r="K3" s="619" t="s">
        <v>237</v>
      </c>
    </row>
    <row r="4" spans="2:11" ht="47.25" x14ac:dyDescent="0.25">
      <c r="B4" s="618" t="s">
        <v>27</v>
      </c>
      <c r="C4" s="619">
        <v>-7.87</v>
      </c>
      <c r="D4" s="619">
        <v>-1.42</v>
      </c>
      <c r="E4" s="619">
        <v>1165</v>
      </c>
      <c r="F4" s="619">
        <v>91.8</v>
      </c>
      <c r="G4" s="619">
        <v>66.73</v>
      </c>
      <c r="H4" s="619">
        <v>196.57</v>
      </c>
      <c r="I4" s="619">
        <v>380</v>
      </c>
      <c r="J4" s="619">
        <v>0</v>
      </c>
      <c r="K4" s="619" t="s">
        <v>235</v>
      </c>
    </row>
    <row r="5" spans="2:11" ht="15.75" x14ac:dyDescent="0.25">
      <c r="B5" s="618" t="s">
        <v>13</v>
      </c>
      <c r="C5" s="619">
        <v>-22.87</v>
      </c>
      <c r="D5" s="619">
        <v>-4.92</v>
      </c>
      <c r="E5" s="619">
        <v>2141.2199999999998</v>
      </c>
      <c r="F5" s="619">
        <v>212.18</v>
      </c>
      <c r="G5" s="619">
        <v>91.9</v>
      </c>
      <c r="H5" s="619">
        <v>211.49</v>
      </c>
      <c r="I5" s="619">
        <v>21.77</v>
      </c>
      <c r="J5" s="619">
        <v>1</v>
      </c>
      <c r="K5" s="619" t="s">
        <v>201</v>
      </c>
    </row>
    <row r="6" spans="2:11" ht="31.5" x14ac:dyDescent="0.25">
      <c r="B6" s="618" t="s">
        <v>25</v>
      </c>
      <c r="C6" s="619">
        <v>-7.69</v>
      </c>
      <c r="D6" s="619">
        <v>-2.44</v>
      </c>
      <c r="E6" s="619">
        <v>2463.06</v>
      </c>
      <c r="F6" s="619">
        <v>36.51</v>
      </c>
      <c r="G6" s="619">
        <v>130.08000000000001</v>
      </c>
      <c r="H6" s="619">
        <v>250.01</v>
      </c>
      <c r="I6" s="619">
        <v>4.95</v>
      </c>
      <c r="J6" s="619">
        <v>2</v>
      </c>
      <c r="K6" s="619" t="s">
        <v>238</v>
      </c>
    </row>
    <row r="7" spans="2:11" ht="31.5" x14ac:dyDescent="0.25">
      <c r="B7" s="618" t="s">
        <v>15</v>
      </c>
      <c r="C7" s="619">
        <v>-21.05</v>
      </c>
      <c r="D7" s="619">
        <v>-13.36</v>
      </c>
      <c r="E7" s="619">
        <v>1863.6</v>
      </c>
      <c r="F7" s="619">
        <v>83.34</v>
      </c>
      <c r="G7" s="619">
        <v>127.48</v>
      </c>
      <c r="H7" s="619">
        <v>214.29</v>
      </c>
      <c r="I7" s="619">
        <v>0</v>
      </c>
      <c r="J7" s="619">
        <v>1</v>
      </c>
      <c r="K7" s="619" t="s">
        <v>201</v>
      </c>
    </row>
    <row r="8" spans="2:11" ht="31.5" x14ac:dyDescent="0.25">
      <c r="B8" s="618" t="s">
        <v>21</v>
      </c>
      <c r="C8" s="619">
        <v>-12.19</v>
      </c>
      <c r="D8" s="619">
        <v>-6.41</v>
      </c>
      <c r="E8" s="620">
        <v>1504.75</v>
      </c>
      <c r="F8" s="619">
        <v>86.33</v>
      </c>
      <c r="G8" s="619">
        <v>97.82</v>
      </c>
      <c r="H8" s="619">
        <v>226.79</v>
      </c>
      <c r="I8" s="619">
        <v>56.05</v>
      </c>
      <c r="J8" s="619">
        <v>1</v>
      </c>
      <c r="K8" s="619" t="s">
        <v>201</v>
      </c>
    </row>
    <row r="9" spans="2:11" ht="31.5" x14ac:dyDescent="0.25">
      <c r="B9" s="618" t="s">
        <v>16</v>
      </c>
      <c r="C9" s="619">
        <v>-11.66</v>
      </c>
      <c r="D9" s="619">
        <v>-3.09</v>
      </c>
      <c r="E9" s="619">
        <v>0</v>
      </c>
      <c r="F9" s="619">
        <v>160.94999999999999</v>
      </c>
      <c r="G9" s="619">
        <v>64.09</v>
      </c>
      <c r="H9" s="619">
        <v>81.55</v>
      </c>
      <c r="I9" s="619">
        <v>68.2</v>
      </c>
      <c r="J9" s="619">
        <v>2</v>
      </c>
      <c r="K9" s="619" t="s">
        <v>238</v>
      </c>
    </row>
    <row r="10" spans="2:11" ht="31.5" x14ac:dyDescent="0.25">
      <c r="B10" s="618" t="s">
        <v>20</v>
      </c>
      <c r="C10" s="619">
        <v>-10.82</v>
      </c>
      <c r="D10" s="619">
        <v>19.23</v>
      </c>
      <c r="E10" s="619">
        <v>1213.7</v>
      </c>
      <c r="F10" s="619">
        <v>45.63</v>
      </c>
      <c r="G10" s="619">
        <v>72.239999999999995</v>
      </c>
      <c r="H10" s="619">
        <v>234.74</v>
      </c>
      <c r="I10" s="619">
        <v>8.27</v>
      </c>
      <c r="J10" s="619">
        <v>3</v>
      </c>
      <c r="K10" s="619" t="s">
        <v>200</v>
      </c>
    </row>
    <row r="11" spans="2:11" ht="47.25" x14ac:dyDescent="0.25">
      <c r="B11" s="618" t="s">
        <v>24</v>
      </c>
      <c r="C11" s="619">
        <v>-24.8</v>
      </c>
      <c r="D11" s="619">
        <v>-14.99</v>
      </c>
      <c r="E11" s="619">
        <v>1743.16</v>
      </c>
      <c r="F11" s="619">
        <v>26.35</v>
      </c>
      <c r="G11" s="619">
        <v>55.07</v>
      </c>
      <c r="H11" s="619">
        <v>200.04</v>
      </c>
      <c r="I11" s="619">
        <v>38</v>
      </c>
      <c r="J11" s="619">
        <v>3</v>
      </c>
      <c r="K11" s="619" t="s">
        <v>200</v>
      </c>
    </row>
    <row r="12" spans="2:11" ht="31.5" x14ac:dyDescent="0.25">
      <c r="B12" s="618" t="s">
        <v>14</v>
      </c>
      <c r="C12" s="619">
        <v>-2.8</v>
      </c>
      <c r="D12" s="619">
        <v>3.16</v>
      </c>
      <c r="E12" s="619">
        <v>1863.25</v>
      </c>
      <c r="F12" s="619">
        <v>35.01</v>
      </c>
      <c r="G12" s="619">
        <v>43.99</v>
      </c>
      <c r="H12" s="619">
        <v>225.75</v>
      </c>
      <c r="I12" s="619">
        <v>9.32</v>
      </c>
      <c r="J12" s="619">
        <v>4</v>
      </c>
      <c r="K12" s="619" t="s">
        <v>237</v>
      </c>
    </row>
    <row r="13" spans="2:11" ht="31.5" x14ac:dyDescent="0.25">
      <c r="B13" s="618" t="s">
        <v>22</v>
      </c>
      <c r="C13" s="619">
        <v>3.41</v>
      </c>
      <c r="D13" s="619">
        <v>8.2100000000000009</v>
      </c>
      <c r="E13" s="619">
        <v>2647.53</v>
      </c>
      <c r="F13" s="619">
        <v>54.98</v>
      </c>
      <c r="G13" s="619">
        <v>65.84</v>
      </c>
      <c r="H13" s="619">
        <v>123.97</v>
      </c>
      <c r="I13" s="619">
        <v>45.09</v>
      </c>
      <c r="J13" s="619">
        <v>4</v>
      </c>
      <c r="K13" s="619" t="s">
        <v>237</v>
      </c>
    </row>
    <row r="14" spans="2:11" ht="31.5" x14ac:dyDescent="0.25">
      <c r="B14" s="618" t="s">
        <v>18</v>
      </c>
      <c r="C14" s="619">
        <v>-9.86</v>
      </c>
      <c r="D14" s="619">
        <v>10.69</v>
      </c>
      <c r="E14" s="619">
        <v>752.58</v>
      </c>
      <c r="F14" s="619">
        <v>151.52000000000001</v>
      </c>
      <c r="G14" s="619">
        <v>219.66</v>
      </c>
      <c r="H14" s="619">
        <v>333.28</v>
      </c>
      <c r="I14" s="619">
        <v>2508.09</v>
      </c>
      <c r="J14" s="619">
        <v>1</v>
      </c>
      <c r="K14" s="619" t="s">
        <v>201</v>
      </c>
    </row>
    <row r="15" spans="2:11" ht="31.5" x14ac:dyDescent="0.25">
      <c r="B15" s="618" t="s">
        <v>23</v>
      </c>
      <c r="C15" s="619">
        <v>-14.01</v>
      </c>
      <c r="D15" s="619">
        <v>1.92</v>
      </c>
      <c r="E15" s="619">
        <v>1685.63</v>
      </c>
      <c r="F15" s="619">
        <v>144.31</v>
      </c>
      <c r="G15" s="619">
        <v>150.91999999999999</v>
      </c>
      <c r="H15" s="619">
        <v>335.62</v>
      </c>
      <c r="I15" s="619">
        <v>136.72</v>
      </c>
      <c r="J15" s="619">
        <v>1</v>
      </c>
      <c r="K15" s="619" t="s">
        <v>201</v>
      </c>
    </row>
    <row r="16" spans="2:11" ht="31.5" x14ac:dyDescent="0.25">
      <c r="B16" s="618" t="s">
        <v>26</v>
      </c>
      <c r="C16" s="619">
        <v>1.32</v>
      </c>
      <c r="D16" s="619">
        <v>11.04</v>
      </c>
      <c r="E16" s="619">
        <v>1970.69</v>
      </c>
      <c r="F16" s="619">
        <v>91.13</v>
      </c>
      <c r="G16" s="619">
        <v>64.52</v>
      </c>
      <c r="H16" s="619">
        <v>245.02</v>
      </c>
      <c r="I16" s="619">
        <v>62.8</v>
      </c>
      <c r="J16" s="619">
        <v>2</v>
      </c>
      <c r="K16" s="619" t="s">
        <v>238</v>
      </c>
    </row>
    <row r="17" spans="2:11" ht="15.75" x14ac:dyDescent="0.25">
      <c r="B17" s="618" t="s">
        <v>12</v>
      </c>
      <c r="C17" s="619">
        <v>-5.77</v>
      </c>
      <c r="D17" s="619">
        <v>4.21</v>
      </c>
      <c r="E17" s="619">
        <v>55.49</v>
      </c>
      <c r="F17" s="619">
        <v>201.43</v>
      </c>
      <c r="G17" s="619">
        <v>120.61</v>
      </c>
      <c r="H17" s="619">
        <v>132.81</v>
      </c>
      <c r="I17" s="619">
        <v>1.86</v>
      </c>
      <c r="J17" s="619">
        <v>3</v>
      </c>
      <c r="K17" s="619" t="s">
        <v>200</v>
      </c>
    </row>
    <row r="18" spans="2:11" ht="47.25" x14ac:dyDescent="0.25">
      <c r="B18" s="618" t="s">
        <v>17</v>
      </c>
      <c r="C18" s="619">
        <v>0.21</v>
      </c>
      <c r="D18" s="619">
        <v>7.13</v>
      </c>
      <c r="E18" s="619">
        <v>1831.16</v>
      </c>
      <c r="F18" s="619">
        <v>16.2</v>
      </c>
      <c r="G18" s="619">
        <v>116.75</v>
      </c>
      <c r="H18" s="619">
        <v>217.77</v>
      </c>
      <c r="I18" s="619">
        <v>838.54</v>
      </c>
      <c r="J18" s="619">
        <v>3</v>
      </c>
      <c r="K18" s="619" t="s">
        <v>200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"/>
  <sheetViews>
    <sheetView topLeftCell="G1" zoomScale="60" zoomScaleNormal="60" workbookViewId="0">
      <selection activeCell="AB2" sqref="AB2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27" width="9" style="499" customWidth="1"/>
    <col min="28" max="28" width="13.25" style="499" customWidth="1"/>
    <col min="29" max="30" width="9" style="499" customWidth="1"/>
    <col min="31" max="31" width="14.375" style="499" bestFit="1" customWidth="1"/>
    <col min="32" max="16384" width="9" style="499"/>
  </cols>
  <sheetData>
    <row r="1" spans="1:43" ht="41.25" customHeight="1" thickBot="1" x14ac:dyDescent="0.35">
      <c r="C1" s="733" t="s">
        <v>256</v>
      </c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500"/>
      <c r="P1" s="500"/>
      <c r="AB1" s="627" t="s">
        <v>271</v>
      </c>
    </row>
    <row r="2" spans="1:43" ht="60.75" customHeight="1" thickBot="1" x14ac:dyDescent="0.4">
      <c r="C2" s="727" t="s">
        <v>1</v>
      </c>
      <c r="D2" s="734" t="s">
        <v>161</v>
      </c>
      <c r="E2" s="734"/>
      <c r="F2" s="734"/>
      <c r="G2" s="734"/>
      <c r="H2" s="735" t="s">
        <v>162</v>
      </c>
      <c r="I2" s="735"/>
      <c r="J2" s="735"/>
      <c r="K2" s="736" t="s">
        <v>163</v>
      </c>
      <c r="L2" s="736"/>
      <c r="M2" s="736"/>
      <c r="N2" s="737" t="s">
        <v>264</v>
      </c>
      <c r="O2" s="501"/>
      <c r="P2" s="762" t="s">
        <v>165</v>
      </c>
      <c r="R2" s="502"/>
      <c r="AB2" s="628" t="s">
        <v>272</v>
      </c>
    </row>
    <row r="3" spans="1:43" ht="63" customHeight="1" thickBot="1" x14ac:dyDescent="0.3">
      <c r="C3" s="727"/>
      <c r="D3" s="740" t="s">
        <v>2</v>
      </c>
      <c r="E3" s="740" t="s">
        <v>3</v>
      </c>
      <c r="F3" s="740" t="s">
        <v>4</v>
      </c>
      <c r="G3" s="741" t="s">
        <v>166</v>
      </c>
      <c r="H3" s="742" t="s">
        <v>167</v>
      </c>
      <c r="I3" s="727" t="s">
        <v>168</v>
      </c>
      <c r="J3" s="730" t="s">
        <v>166</v>
      </c>
      <c r="K3" s="732" t="s">
        <v>169</v>
      </c>
      <c r="L3" s="727" t="s">
        <v>170</v>
      </c>
      <c r="M3" s="738" t="s">
        <v>166</v>
      </c>
      <c r="N3" s="737"/>
      <c r="O3" s="763" t="s">
        <v>80</v>
      </c>
      <c r="P3" s="762"/>
      <c r="R3" s="502"/>
    </row>
    <row r="4" spans="1:43" ht="86.25" customHeight="1" thickBot="1" x14ac:dyDescent="0.75">
      <c r="C4" s="727"/>
      <c r="D4" s="740"/>
      <c r="E4" s="740"/>
      <c r="F4" s="740"/>
      <c r="G4" s="741"/>
      <c r="H4" s="742"/>
      <c r="I4" s="727"/>
      <c r="J4" s="731"/>
      <c r="K4" s="732"/>
      <c r="L4" s="727"/>
      <c r="M4" s="739"/>
      <c r="N4" s="737"/>
      <c r="O4" s="763"/>
      <c r="P4" s="762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  <c r="Z4" s="626" t="s">
        <v>203</v>
      </c>
      <c r="AA4" s="626" t="s">
        <v>270</v>
      </c>
      <c r="AB4" s="626" t="s">
        <v>205</v>
      </c>
    </row>
    <row r="5" spans="1:43" s="505" customFormat="1" ht="35.1" customHeight="1" thickBot="1" x14ac:dyDescent="0.45">
      <c r="A5" s="505">
        <v>2</v>
      </c>
      <c r="B5" s="505">
        <v>2</v>
      </c>
      <c r="C5" s="506" t="s">
        <v>13</v>
      </c>
      <c r="D5" s="507">
        <v>1.1100000000000001</v>
      </c>
      <c r="E5" s="507">
        <v>0.92</v>
      </c>
      <c r="F5" s="507">
        <v>0.56999999999999995</v>
      </c>
      <c r="G5" s="508">
        <f t="shared" ref="G5:G20" si="0">+R5+S5+T5</f>
        <v>3</v>
      </c>
      <c r="H5" s="71">
        <v>9713770.5</v>
      </c>
      <c r="I5" s="69">
        <v>-24435151.18</v>
      </c>
      <c r="J5" s="508">
        <f t="shared" ref="J5:J20" si="1">+U5+V5</f>
        <v>1</v>
      </c>
      <c r="K5" s="509">
        <f>SUM(I5/12)</f>
        <v>-2036262.5983333334</v>
      </c>
      <c r="L5" s="510">
        <f>AE5</f>
        <v>-4.7703918482570238</v>
      </c>
      <c r="M5" s="514" t="str">
        <f>+W5</f>
        <v>2</v>
      </c>
      <c r="N5" s="512">
        <v>5</v>
      </c>
      <c r="O5" s="511"/>
      <c r="P5" s="513"/>
      <c r="Q5" s="514">
        <v>0</v>
      </c>
      <c r="R5" s="505" t="str">
        <f t="shared" ref="R5:R20" si="2">IF(D5&lt;1.5,"1",IF(D5&gt;=1.5,"0"))</f>
        <v>1</v>
      </c>
      <c r="S5" s="505" t="str">
        <f t="shared" ref="S5:S13" si="3">IF(E5&lt;=1,"1",IF(E5&gt;1,"0"))</f>
        <v>1</v>
      </c>
      <c r="T5" s="505" t="str">
        <f t="shared" ref="T5:T20" si="4">IF(F5&lt;0.8,"1",IF(F5&gt;=0.8,"0"))</f>
        <v>1</v>
      </c>
      <c r="U5" s="505" t="str">
        <f t="shared" ref="U5:U20" si="5">IF(H5&lt;0,"1",IF(H5&gt;=0,"0"))</f>
        <v>0</v>
      </c>
      <c r="V5" s="505" t="str">
        <f t="shared" ref="V5:V20" si="6">IF(I5&lt;0,"1",IF(I5&gt;=0,"0"))</f>
        <v>1</v>
      </c>
      <c r="W5" s="505" t="str">
        <f>IF(L5="","0",IF(L5&lt;3,"2",IF(L5&lt;6,"1",IF(L5&gt;6.01,"0"))))</f>
        <v>2</v>
      </c>
      <c r="Y5" s="505">
        <f t="shared" ref="Y5:Y20" si="7">+R5+S5+T5+U5+V5+W5</f>
        <v>6</v>
      </c>
      <c r="Z5" s="505">
        <f t="shared" ref="Z5:Z20" si="8">(IF(D5&lt;1.5,1,0))+(IF(E5&lt;1,1,0))+(IF(F5&lt;0.8,1,0))</f>
        <v>3</v>
      </c>
      <c r="AA5" s="505">
        <f>IF(I5&lt;0,1,0)+IF(H5&lt;0,1,0)</f>
        <v>1</v>
      </c>
      <c r="AB5" s="505">
        <f>IF(I5&lt;0,IF((H5/-(I5/12))&lt;3,2,IF((H5/(-I5/12))&lt;6,1,0)),0)</f>
        <v>1</v>
      </c>
      <c r="AE5" s="515">
        <f t="shared" ref="AE5:AE20" si="9">H5/K5</f>
        <v>-4.7703918482570238</v>
      </c>
      <c r="AF5" s="551" t="s">
        <v>212</v>
      </c>
      <c r="AG5" s="534"/>
      <c r="AH5" s="537"/>
      <c r="AI5" s="553"/>
      <c r="AJ5" s="553"/>
      <c r="AK5" s="553"/>
      <c r="AL5" s="553"/>
      <c r="AM5" s="553"/>
      <c r="AN5" s="554"/>
      <c r="AO5" s="550"/>
      <c r="AP5" s="550"/>
      <c r="AQ5" s="550"/>
    </row>
    <row r="6" spans="1:43" s="505" customFormat="1" ht="35.1" customHeight="1" thickBot="1" x14ac:dyDescent="0.45">
      <c r="A6" s="505">
        <v>8</v>
      </c>
      <c r="B6" s="505">
        <v>8</v>
      </c>
      <c r="C6" s="516" t="s">
        <v>19</v>
      </c>
      <c r="D6" s="507">
        <v>0.84</v>
      </c>
      <c r="E6" s="507">
        <v>0.68</v>
      </c>
      <c r="F6" s="507">
        <v>0.53</v>
      </c>
      <c r="G6" s="508">
        <f t="shared" si="0"/>
        <v>3</v>
      </c>
      <c r="H6" s="69">
        <v>-3381011.02</v>
      </c>
      <c r="I6" s="71">
        <v>4577074.92</v>
      </c>
      <c r="J6" s="508">
        <f t="shared" si="1"/>
        <v>1</v>
      </c>
      <c r="K6" s="509">
        <f>SUM(I6/12)</f>
        <v>381422.91</v>
      </c>
      <c r="L6" s="510">
        <f>AE6</f>
        <v>-8.8642054039176621</v>
      </c>
      <c r="M6" s="514" t="str">
        <f>+W6</f>
        <v>2</v>
      </c>
      <c r="N6" s="512">
        <f t="shared" ref="N6:N20" si="10">+Y6</f>
        <v>6</v>
      </c>
      <c r="O6" s="511"/>
      <c r="P6" s="513"/>
      <c r="Q6" s="512">
        <v>4</v>
      </c>
      <c r="R6" s="505" t="str">
        <f t="shared" si="2"/>
        <v>1</v>
      </c>
      <c r="S6" s="505" t="str">
        <f t="shared" si="3"/>
        <v>1</v>
      </c>
      <c r="T6" s="505" t="str">
        <f t="shared" si="4"/>
        <v>1</v>
      </c>
      <c r="U6" s="505" t="str">
        <f t="shared" si="5"/>
        <v>1</v>
      </c>
      <c r="V6" s="505" t="str">
        <f t="shared" si="6"/>
        <v>0</v>
      </c>
      <c r="W6" s="505" t="str">
        <f>IF(L6="","0",IF(L6&lt;3,"2",IF(L6&lt;6,"1",IF(L6&gt;6.01,"0"))))</f>
        <v>2</v>
      </c>
      <c r="Y6" s="505">
        <f t="shared" si="7"/>
        <v>6</v>
      </c>
      <c r="Z6" s="505">
        <f t="shared" si="8"/>
        <v>3</v>
      </c>
      <c r="AA6" s="505">
        <f t="shared" ref="AA6:AA20" si="11">IF(I6&lt;0,1,0)+IF(H6&lt;0,1,0)</f>
        <v>1</v>
      </c>
      <c r="AB6" s="505">
        <f t="shared" ref="AB6:AB20" si="12">IF(I6&lt;0,IF((H6/-(I6/12))&lt;3,2,IF((H6/(-I6/12))&lt;6,1,0)),0)</f>
        <v>0</v>
      </c>
      <c r="AE6" s="515">
        <f t="shared" si="9"/>
        <v>-8.8642054039176621</v>
      </c>
      <c r="AF6" s="549"/>
      <c r="AG6" s="534"/>
      <c r="AH6" s="537" t="s">
        <v>50</v>
      </c>
      <c r="AI6" s="534"/>
      <c r="AJ6" s="534"/>
      <c r="AK6" s="534"/>
      <c r="AL6" s="534"/>
      <c r="AM6" s="534"/>
      <c r="AN6" s="549"/>
      <c r="AO6" s="550"/>
      <c r="AP6" s="550"/>
      <c r="AQ6" s="550"/>
    </row>
    <row r="7" spans="1:43" s="505" customFormat="1" ht="35.1" customHeight="1" thickBot="1" x14ac:dyDescent="0.45">
      <c r="A7" s="505">
        <v>13</v>
      </c>
      <c r="B7" s="505">
        <v>13</v>
      </c>
      <c r="C7" s="516" t="s">
        <v>24</v>
      </c>
      <c r="D7" s="507">
        <v>1.1499999999999999</v>
      </c>
      <c r="E7" s="518">
        <v>0.97</v>
      </c>
      <c r="F7" s="518">
        <v>0.78</v>
      </c>
      <c r="G7" s="508">
        <f t="shared" si="0"/>
        <v>3</v>
      </c>
      <c r="H7" s="71">
        <v>916171.32</v>
      </c>
      <c r="I7" s="69">
        <v>-5613694.8700000001</v>
      </c>
      <c r="J7" s="508">
        <f t="shared" si="1"/>
        <v>1</v>
      </c>
      <c r="K7" s="509">
        <f t="shared" ref="K7:K20" si="13">SUM(I7/12)</f>
        <v>-467807.90583333332</v>
      </c>
      <c r="L7" s="510">
        <f t="shared" ref="L7:L20" si="14">AE7</f>
        <v>-1.9584348801629825</v>
      </c>
      <c r="M7" s="514" t="str">
        <f>+W7</f>
        <v>2</v>
      </c>
      <c r="N7" s="519">
        <f t="shared" si="10"/>
        <v>6</v>
      </c>
      <c r="O7" s="523"/>
      <c r="P7" s="521"/>
      <c r="Q7" s="522">
        <v>1</v>
      </c>
      <c r="R7" s="505" t="str">
        <f t="shared" si="2"/>
        <v>1</v>
      </c>
      <c r="S7" s="505" t="str">
        <f t="shared" si="3"/>
        <v>1</v>
      </c>
      <c r="T7" s="505" t="str">
        <f t="shared" si="4"/>
        <v>1</v>
      </c>
      <c r="U7" s="505" t="str">
        <f t="shared" si="5"/>
        <v>0</v>
      </c>
      <c r="V7" s="505" t="str">
        <f t="shared" si="6"/>
        <v>1</v>
      </c>
      <c r="W7" s="505" t="str">
        <f t="shared" ref="W7:W20" si="15">IF(L7="","0",IF(L7&lt;3,"2",IF(L7&lt;6,"1",IF(L7&gt;6.01,"0"))))</f>
        <v>2</v>
      </c>
      <c r="Y7" s="505">
        <f t="shared" si="7"/>
        <v>6</v>
      </c>
      <c r="Z7" s="505">
        <f t="shared" si="8"/>
        <v>3</v>
      </c>
      <c r="AA7" s="505">
        <f t="shared" si="11"/>
        <v>1</v>
      </c>
      <c r="AB7" s="505">
        <f t="shared" si="12"/>
        <v>2</v>
      </c>
      <c r="AE7" s="515">
        <f t="shared" si="9"/>
        <v>-1.9584348801629825</v>
      </c>
      <c r="AF7" s="549"/>
      <c r="AG7" s="534"/>
      <c r="AH7" s="537" t="s">
        <v>51</v>
      </c>
      <c r="AI7" s="534"/>
      <c r="AJ7" s="534"/>
      <c r="AK7" s="534"/>
      <c r="AL7" s="534"/>
      <c r="AM7" s="534"/>
      <c r="AN7" s="549"/>
      <c r="AO7" s="550"/>
      <c r="AP7" s="550"/>
      <c r="AQ7" s="550"/>
    </row>
    <row r="8" spans="1:43" s="505" customFormat="1" ht="35.1" customHeight="1" thickBot="1" x14ac:dyDescent="0.45">
      <c r="A8" s="505">
        <v>16</v>
      </c>
      <c r="B8" s="505">
        <v>16</v>
      </c>
      <c r="C8" s="506" t="s">
        <v>27</v>
      </c>
      <c r="D8" s="507">
        <v>1.1000000000000001</v>
      </c>
      <c r="E8" s="518">
        <v>0.95</v>
      </c>
      <c r="F8" s="518">
        <v>0.7</v>
      </c>
      <c r="G8" s="508">
        <f t="shared" si="0"/>
        <v>3</v>
      </c>
      <c r="H8" s="71">
        <v>652074.34</v>
      </c>
      <c r="I8" s="71">
        <v>-514512.89</v>
      </c>
      <c r="J8" s="525">
        <f t="shared" si="1"/>
        <v>1</v>
      </c>
      <c r="K8" s="509">
        <f t="shared" si="13"/>
        <v>-42876.074166666665</v>
      </c>
      <c r="L8" s="510">
        <f t="shared" si="14"/>
        <v>-15.208349940465048</v>
      </c>
      <c r="M8" s="514">
        <v>0</v>
      </c>
      <c r="N8" s="522">
        <f t="shared" si="10"/>
        <v>6</v>
      </c>
      <c r="O8" s="511"/>
      <c r="P8" s="513"/>
      <c r="Q8" s="528">
        <v>4</v>
      </c>
      <c r="R8" s="505" t="str">
        <f t="shared" si="2"/>
        <v>1</v>
      </c>
      <c r="S8" s="505" t="str">
        <f t="shared" si="3"/>
        <v>1</v>
      </c>
      <c r="T8" s="505" t="str">
        <f t="shared" si="4"/>
        <v>1</v>
      </c>
      <c r="U8" s="505" t="str">
        <f t="shared" si="5"/>
        <v>0</v>
      </c>
      <c r="V8" s="505" t="str">
        <f t="shared" si="6"/>
        <v>1</v>
      </c>
      <c r="W8" s="505" t="str">
        <f t="shared" si="15"/>
        <v>2</v>
      </c>
      <c r="Y8" s="505">
        <f t="shared" si="7"/>
        <v>6</v>
      </c>
      <c r="Z8" s="505">
        <f t="shared" si="8"/>
        <v>3</v>
      </c>
      <c r="AA8" s="505">
        <f t="shared" si="11"/>
        <v>1</v>
      </c>
      <c r="AB8" s="505">
        <f t="shared" si="12"/>
        <v>0</v>
      </c>
      <c r="AE8" s="515">
        <f t="shared" si="9"/>
        <v>-15.208349940465048</v>
      </c>
      <c r="AF8" s="549"/>
      <c r="AG8" s="534"/>
      <c r="AH8" s="537" t="s">
        <v>52</v>
      </c>
      <c r="AI8" s="534"/>
      <c r="AJ8" s="534"/>
      <c r="AK8" s="534"/>
      <c r="AL8" s="534"/>
      <c r="AM8" s="534"/>
      <c r="AN8" s="549"/>
      <c r="AO8" s="550"/>
      <c r="AP8" s="550"/>
      <c r="AQ8" s="550"/>
    </row>
    <row r="9" spans="1:43" s="505" customFormat="1" ht="35.1" customHeight="1" thickBot="1" x14ac:dyDescent="0.45">
      <c r="A9" s="505">
        <v>14</v>
      </c>
      <c r="B9" s="505">
        <v>14</v>
      </c>
      <c r="C9" s="516" t="s">
        <v>25</v>
      </c>
      <c r="D9" s="507">
        <v>1.1399999999999999</v>
      </c>
      <c r="E9" s="507">
        <v>1.03</v>
      </c>
      <c r="F9" s="507">
        <v>0.52</v>
      </c>
      <c r="G9" s="508">
        <f t="shared" si="0"/>
        <v>2</v>
      </c>
      <c r="H9" s="71">
        <v>2284027.02</v>
      </c>
      <c r="I9" s="69">
        <v>-1807926.87</v>
      </c>
      <c r="J9" s="508">
        <f t="shared" si="1"/>
        <v>1</v>
      </c>
      <c r="K9" s="509">
        <f t="shared" si="13"/>
        <v>-150660.57250000001</v>
      </c>
      <c r="L9" s="510">
        <f t="shared" si="14"/>
        <v>-15.160084566916138</v>
      </c>
      <c r="M9" s="514">
        <v>0</v>
      </c>
      <c r="N9" s="517">
        <f t="shared" si="10"/>
        <v>5</v>
      </c>
      <c r="O9" s="511"/>
      <c r="P9" s="513"/>
      <c r="Q9" s="517">
        <v>5</v>
      </c>
      <c r="R9" s="505" t="str">
        <f t="shared" si="2"/>
        <v>1</v>
      </c>
      <c r="S9" s="505" t="str">
        <f t="shared" si="3"/>
        <v>0</v>
      </c>
      <c r="T9" s="505" t="str">
        <f t="shared" si="4"/>
        <v>1</v>
      </c>
      <c r="U9" s="505" t="str">
        <f t="shared" si="5"/>
        <v>0</v>
      </c>
      <c r="V9" s="505" t="str">
        <f t="shared" si="6"/>
        <v>1</v>
      </c>
      <c r="W9" s="505" t="str">
        <f t="shared" si="15"/>
        <v>2</v>
      </c>
      <c r="Y9" s="505">
        <f t="shared" si="7"/>
        <v>5</v>
      </c>
      <c r="Z9" s="505">
        <f t="shared" si="8"/>
        <v>2</v>
      </c>
      <c r="AA9" s="505">
        <f t="shared" si="11"/>
        <v>1</v>
      </c>
      <c r="AB9" s="505">
        <f t="shared" si="12"/>
        <v>0</v>
      </c>
      <c r="AE9" s="515">
        <f t="shared" si="9"/>
        <v>-15.160084566916138</v>
      </c>
      <c r="AF9" s="499" t="s">
        <v>53</v>
      </c>
      <c r="AG9" s="534"/>
      <c r="AH9" s="534"/>
      <c r="AI9" s="534"/>
      <c r="AJ9" s="534"/>
      <c r="AK9" s="534"/>
      <c r="AL9" s="534"/>
      <c r="AM9" s="534"/>
      <c r="AN9" s="549"/>
      <c r="AO9" s="550"/>
      <c r="AP9" s="550"/>
      <c r="AQ9" s="550"/>
    </row>
    <row r="10" spans="1:43" s="505" customFormat="1" ht="35.1" customHeight="1" thickBot="1" x14ac:dyDescent="0.45">
      <c r="A10" s="505">
        <v>10</v>
      </c>
      <c r="B10" s="505">
        <v>10</v>
      </c>
      <c r="C10" s="516" t="s">
        <v>21</v>
      </c>
      <c r="D10" s="507">
        <v>1.39</v>
      </c>
      <c r="E10" s="518">
        <v>1.2</v>
      </c>
      <c r="F10" s="518">
        <v>0.72</v>
      </c>
      <c r="G10" s="508">
        <f t="shared" si="0"/>
        <v>2</v>
      </c>
      <c r="H10" s="71">
        <v>4564385.74</v>
      </c>
      <c r="I10" s="69">
        <v>-4001728.48</v>
      </c>
      <c r="J10" s="508">
        <f t="shared" si="1"/>
        <v>1</v>
      </c>
      <c r="K10" s="509">
        <f t="shared" si="13"/>
        <v>-333477.37333333335</v>
      </c>
      <c r="L10" s="510">
        <f t="shared" si="14"/>
        <v>-13.687242688689363</v>
      </c>
      <c r="M10" s="514" t="str">
        <f t="shared" ref="M10:M20" si="16">+W10</f>
        <v>2</v>
      </c>
      <c r="N10" s="519">
        <f t="shared" si="10"/>
        <v>5</v>
      </c>
      <c r="O10" s="511"/>
      <c r="P10" s="521"/>
      <c r="Q10" s="524">
        <v>1</v>
      </c>
      <c r="R10" s="505" t="str">
        <f t="shared" si="2"/>
        <v>1</v>
      </c>
      <c r="S10" s="505" t="str">
        <f t="shared" si="3"/>
        <v>0</v>
      </c>
      <c r="T10" s="505" t="str">
        <f t="shared" si="4"/>
        <v>1</v>
      </c>
      <c r="U10" s="505" t="str">
        <f t="shared" si="5"/>
        <v>0</v>
      </c>
      <c r="V10" s="505" t="str">
        <f t="shared" si="6"/>
        <v>1</v>
      </c>
      <c r="W10" s="505" t="str">
        <f t="shared" si="15"/>
        <v>2</v>
      </c>
      <c r="Y10" s="505">
        <f t="shared" si="7"/>
        <v>5</v>
      </c>
      <c r="Z10" s="505">
        <f t="shared" si="8"/>
        <v>2</v>
      </c>
      <c r="AA10" s="505">
        <f t="shared" si="11"/>
        <v>1</v>
      </c>
      <c r="AB10" s="505">
        <f t="shared" si="12"/>
        <v>0</v>
      </c>
      <c r="AE10" s="515">
        <f t="shared" si="9"/>
        <v>-13.687242688689363</v>
      </c>
      <c r="AF10" s="551" t="s">
        <v>213</v>
      </c>
      <c r="AG10" s="534"/>
      <c r="AH10" s="534"/>
      <c r="AI10" s="534"/>
      <c r="AJ10" s="534"/>
      <c r="AK10" s="534"/>
      <c r="AL10" s="534"/>
      <c r="AM10" s="534"/>
      <c r="AN10" s="549"/>
      <c r="AO10" s="550"/>
      <c r="AP10" s="550"/>
      <c r="AQ10" s="550"/>
    </row>
    <row r="11" spans="1:43" s="505" customFormat="1" ht="35.1" customHeight="1" thickBot="1" x14ac:dyDescent="0.45">
      <c r="A11" s="505">
        <v>4</v>
      </c>
      <c r="B11" s="505">
        <v>4</v>
      </c>
      <c r="C11" s="506" t="s">
        <v>15</v>
      </c>
      <c r="D11" s="507">
        <v>1.34</v>
      </c>
      <c r="E11" s="518">
        <v>1.2</v>
      </c>
      <c r="F11" s="518">
        <v>0.92</v>
      </c>
      <c r="G11" s="508">
        <f t="shared" si="0"/>
        <v>1</v>
      </c>
      <c r="H11" s="71">
        <v>4546705.38</v>
      </c>
      <c r="I11" s="69">
        <v>-5267686.8099999996</v>
      </c>
      <c r="J11" s="508">
        <f t="shared" si="1"/>
        <v>1</v>
      </c>
      <c r="K11" s="509">
        <f t="shared" si="13"/>
        <v>-438973.90083333332</v>
      </c>
      <c r="L11" s="510">
        <f t="shared" si="14"/>
        <v>-10.357575635746651</v>
      </c>
      <c r="M11" s="514" t="str">
        <f t="shared" si="16"/>
        <v>2</v>
      </c>
      <c r="N11" s="519">
        <f t="shared" si="10"/>
        <v>4</v>
      </c>
      <c r="O11" s="511"/>
      <c r="P11" s="513"/>
      <c r="Q11" s="520">
        <v>2</v>
      </c>
      <c r="R11" s="505" t="str">
        <f t="shared" si="2"/>
        <v>1</v>
      </c>
      <c r="S11" s="505" t="str">
        <f t="shared" si="3"/>
        <v>0</v>
      </c>
      <c r="T11" s="505" t="str">
        <f t="shared" si="4"/>
        <v>0</v>
      </c>
      <c r="U11" s="505" t="str">
        <f t="shared" si="5"/>
        <v>0</v>
      </c>
      <c r="V11" s="505" t="str">
        <f t="shared" si="6"/>
        <v>1</v>
      </c>
      <c r="W11" s="505" t="str">
        <f t="shared" si="15"/>
        <v>2</v>
      </c>
      <c r="Y11" s="505">
        <f t="shared" si="7"/>
        <v>4</v>
      </c>
      <c r="Z11" s="505">
        <f t="shared" si="8"/>
        <v>1</v>
      </c>
      <c r="AA11" s="505">
        <f t="shared" si="11"/>
        <v>1</v>
      </c>
      <c r="AB11" s="505">
        <f t="shared" si="12"/>
        <v>0</v>
      </c>
      <c r="AE11" s="515">
        <f t="shared" si="9"/>
        <v>-10.357575635746651</v>
      </c>
    </row>
    <row r="12" spans="1:43" s="505" customFormat="1" ht="35.1" customHeight="1" thickBot="1" x14ac:dyDescent="0.45">
      <c r="A12" s="505">
        <v>5</v>
      </c>
      <c r="B12" s="505">
        <v>5</v>
      </c>
      <c r="C12" s="506" t="s">
        <v>16</v>
      </c>
      <c r="D12" s="518">
        <v>2.3199999999999998</v>
      </c>
      <c r="E12" s="518">
        <v>1.98</v>
      </c>
      <c r="F12" s="518">
        <v>1.68</v>
      </c>
      <c r="G12" s="525">
        <f t="shared" si="0"/>
        <v>0</v>
      </c>
      <c r="H12" s="71">
        <v>12762215.07</v>
      </c>
      <c r="I12" s="69">
        <v>-4052681.96</v>
      </c>
      <c r="J12" s="508">
        <f t="shared" si="1"/>
        <v>1</v>
      </c>
      <c r="K12" s="509">
        <f t="shared" si="13"/>
        <v>-337723.49666666664</v>
      </c>
      <c r="L12" s="510">
        <f t="shared" si="14"/>
        <v>-37.788946271026909</v>
      </c>
      <c r="M12" s="514" t="str">
        <f t="shared" si="16"/>
        <v>2</v>
      </c>
      <c r="N12" s="522">
        <f t="shared" si="10"/>
        <v>3</v>
      </c>
      <c r="O12" s="511"/>
      <c r="P12" s="513"/>
      <c r="Q12" s="522">
        <v>1</v>
      </c>
      <c r="R12" s="505" t="str">
        <f t="shared" si="2"/>
        <v>0</v>
      </c>
      <c r="S12" s="505" t="str">
        <f t="shared" si="3"/>
        <v>0</v>
      </c>
      <c r="T12" s="505" t="str">
        <f t="shared" si="4"/>
        <v>0</v>
      </c>
      <c r="U12" s="505" t="str">
        <f t="shared" si="5"/>
        <v>0</v>
      </c>
      <c r="V12" s="505" t="str">
        <f t="shared" si="6"/>
        <v>1</v>
      </c>
      <c r="W12" s="505" t="str">
        <f t="shared" si="15"/>
        <v>2</v>
      </c>
      <c r="Y12" s="505">
        <f t="shared" si="7"/>
        <v>3</v>
      </c>
      <c r="Z12" s="505">
        <f t="shared" si="8"/>
        <v>0</v>
      </c>
      <c r="AA12" s="505">
        <f t="shared" si="11"/>
        <v>1</v>
      </c>
      <c r="AB12" s="505">
        <f t="shared" si="12"/>
        <v>0</v>
      </c>
      <c r="AE12" s="515">
        <f t="shared" si="9"/>
        <v>-37.788946271026909</v>
      </c>
    </row>
    <row r="13" spans="1:43" s="505" customFormat="1" ht="35.1" customHeight="1" thickBot="1" x14ac:dyDescent="0.45">
      <c r="A13" s="505">
        <v>11</v>
      </c>
      <c r="B13" s="505">
        <v>11</v>
      </c>
      <c r="C13" s="516" t="s">
        <v>22</v>
      </c>
      <c r="D13" s="507">
        <v>1.2</v>
      </c>
      <c r="E13" s="518">
        <v>0.98</v>
      </c>
      <c r="F13" s="518">
        <v>0.73</v>
      </c>
      <c r="G13" s="508">
        <f t="shared" si="0"/>
        <v>3</v>
      </c>
      <c r="H13" s="71">
        <v>2142777.0499999998</v>
      </c>
      <c r="I13" s="71">
        <v>2733343.47</v>
      </c>
      <c r="J13" s="525">
        <f t="shared" si="1"/>
        <v>0</v>
      </c>
      <c r="K13" s="509">
        <f t="shared" si="13"/>
        <v>227778.62250000003</v>
      </c>
      <c r="L13" s="510">
        <f t="shared" si="14"/>
        <v>9.4072789908104717</v>
      </c>
      <c r="M13" s="514" t="str">
        <f t="shared" si="16"/>
        <v>0</v>
      </c>
      <c r="N13" s="527">
        <f t="shared" si="10"/>
        <v>3</v>
      </c>
      <c r="O13" s="511"/>
      <c r="P13" s="513"/>
      <c r="Q13" s="528">
        <v>4</v>
      </c>
      <c r="R13" s="505" t="str">
        <f t="shared" si="2"/>
        <v>1</v>
      </c>
      <c r="S13" s="505" t="str">
        <f t="shared" si="3"/>
        <v>1</v>
      </c>
      <c r="T13" s="505" t="str">
        <f t="shared" si="4"/>
        <v>1</v>
      </c>
      <c r="U13" s="505" t="str">
        <f t="shared" si="5"/>
        <v>0</v>
      </c>
      <c r="V13" s="505" t="str">
        <f t="shared" si="6"/>
        <v>0</v>
      </c>
      <c r="W13" s="505" t="str">
        <f t="shared" si="15"/>
        <v>0</v>
      </c>
      <c r="Y13" s="505">
        <f t="shared" si="7"/>
        <v>3</v>
      </c>
      <c r="Z13" s="505">
        <f t="shared" si="8"/>
        <v>3</v>
      </c>
      <c r="AA13" s="505">
        <f t="shared" si="11"/>
        <v>0</v>
      </c>
      <c r="AB13" s="505">
        <f t="shared" si="12"/>
        <v>0</v>
      </c>
      <c r="AE13" s="515">
        <f t="shared" si="9"/>
        <v>9.4072789908104717</v>
      </c>
    </row>
    <row r="14" spans="1:43" s="505" customFormat="1" ht="35.1" customHeight="1" thickBot="1" x14ac:dyDescent="0.45">
      <c r="A14" s="505">
        <v>3</v>
      </c>
      <c r="B14" s="505">
        <v>3</v>
      </c>
      <c r="C14" s="506" t="s">
        <v>14</v>
      </c>
      <c r="D14" s="507">
        <v>1.17</v>
      </c>
      <c r="E14" s="518">
        <v>1.1100000000000001</v>
      </c>
      <c r="F14" s="518">
        <v>0.86</v>
      </c>
      <c r="G14" s="508">
        <f t="shared" si="0"/>
        <v>1</v>
      </c>
      <c r="H14" s="71">
        <v>3641669.01</v>
      </c>
      <c r="I14" s="71">
        <v>1421744.73</v>
      </c>
      <c r="J14" s="525">
        <f t="shared" si="1"/>
        <v>0</v>
      </c>
      <c r="K14" s="509">
        <f t="shared" si="13"/>
        <v>118478.72749999999</v>
      </c>
      <c r="L14" s="510">
        <f t="shared" si="14"/>
        <v>30.736901778422627</v>
      </c>
      <c r="M14" s="514" t="str">
        <f t="shared" si="16"/>
        <v>0</v>
      </c>
      <c r="N14" s="522">
        <f t="shared" si="10"/>
        <v>1</v>
      </c>
      <c r="O14" s="511"/>
      <c r="P14" s="513"/>
      <c r="Q14" s="524">
        <v>1</v>
      </c>
      <c r="R14" s="505" t="str">
        <f t="shared" si="2"/>
        <v>1</v>
      </c>
      <c r="S14" s="526" t="str">
        <f>IF(E14&lt;1,"1",IF(E14&gt;=1,"0"))</f>
        <v>0</v>
      </c>
      <c r="T14" s="505" t="str">
        <f t="shared" si="4"/>
        <v>0</v>
      </c>
      <c r="U14" s="505" t="str">
        <f t="shared" si="5"/>
        <v>0</v>
      </c>
      <c r="V14" s="505" t="str">
        <f t="shared" si="6"/>
        <v>0</v>
      </c>
      <c r="W14" s="505" t="str">
        <f t="shared" si="15"/>
        <v>0</v>
      </c>
      <c r="Y14" s="505">
        <f t="shared" si="7"/>
        <v>1</v>
      </c>
      <c r="Z14" s="505">
        <f t="shared" si="8"/>
        <v>1</v>
      </c>
      <c r="AA14" s="505">
        <f t="shared" si="11"/>
        <v>0</v>
      </c>
      <c r="AB14" s="505">
        <f t="shared" si="12"/>
        <v>0</v>
      </c>
      <c r="AE14" s="515">
        <f t="shared" si="9"/>
        <v>30.736901778422627</v>
      </c>
    </row>
    <row r="15" spans="1:43" s="505" customFormat="1" ht="35.1" customHeight="1" thickBot="1" x14ac:dyDescent="0.45">
      <c r="A15" s="505">
        <v>9</v>
      </c>
      <c r="B15" s="505">
        <v>9</v>
      </c>
      <c r="C15" s="516" t="s">
        <v>20</v>
      </c>
      <c r="D15" s="507">
        <v>1.17</v>
      </c>
      <c r="E15" s="518">
        <v>1.05</v>
      </c>
      <c r="F15" s="518">
        <v>0.91</v>
      </c>
      <c r="G15" s="508">
        <f t="shared" si="0"/>
        <v>1</v>
      </c>
      <c r="H15" s="71">
        <v>2752115.99</v>
      </c>
      <c r="I15" s="71">
        <v>16932594.82</v>
      </c>
      <c r="J15" s="525">
        <f t="shared" si="1"/>
        <v>0</v>
      </c>
      <c r="K15" s="509">
        <f t="shared" si="13"/>
        <v>1411049.5683333334</v>
      </c>
      <c r="L15" s="510">
        <f t="shared" si="14"/>
        <v>1.9504034810418975</v>
      </c>
      <c r="M15" s="514" t="str">
        <f t="shared" si="16"/>
        <v>2</v>
      </c>
      <c r="N15" s="522">
        <f t="shared" si="10"/>
        <v>3</v>
      </c>
      <c r="O15" s="511"/>
      <c r="P15" s="513"/>
      <c r="Q15" s="524">
        <v>1</v>
      </c>
      <c r="R15" s="505" t="str">
        <f t="shared" si="2"/>
        <v>1</v>
      </c>
      <c r="S15" s="505" t="str">
        <f t="shared" ref="S15:S20" si="17">IF(E15&lt;=1,"1",IF(E15&gt;1,"0"))</f>
        <v>0</v>
      </c>
      <c r="T15" s="505" t="str">
        <f t="shared" si="4"/>
        <v>0</v>
      </c>
      <c r="U15" s="505" t="str">
        <f t="shared" si="5"/>
        <v>0</v>
      </c>
      <c r="V15" s="505" t="str">
        <f t="shared" si="6"/>
        <v>0</v>
      </c>
      <c r="W15" s="505" t="str">
        <f t="shared" si="15"/>
        <v>2</v>
      </c>
      <c r="Y15" s="505">
        <f t="shared" si="7"/>
        <v>3</v>
      </c>
      <c r="Z15" s="505">
        <f t="shared" si="8"/>
        <v>1</v>
      </c>
      <c r="AA15" s="505">
        <f t="shared" si="11"/>
        <v>0</v>
      </c>
      <c r="AB15" s="505">
        <f t="shared" si="12"/>
        <v>0</v>
      </c>
      <c r="AE15" s="515">
        <f t="shared" si="9"/>
        <v>1.9504034810418975</v>
      </c>
    </row>
    <row r="16" spans="1:43" s="505" customFormat="1" ht="35.1" customHeight="1" thickBot="1" x14ac:dyDescent="0.45">
      <c r="A16" s="505">
        <v>15</v>
      </c>
      <c r="B16" s="505">
        <v>15</v>
      </c>
      <c r="C16" s="516" t="s">
        <v>26</v>
      </c>
      <c r="D16" s="507">
        <v>1.31</v>
      </c>
      <c r="E16" s="518">
        <v>1.1599999999999999</v>
      </c>
      <c r="F16" s="518">
        <v>0.99</v>
      </c>
      <c r="G16" s="508">
        <f t="shared" si="0"/>
        <v>1</v>
      </c>
      <c r="H16" s="71">
        <v>3602351.55</v>
      </c>
      <c r="I16" s="71">
        <v>6056908.5300000003</v>
      </c>
      <c r="J16" s="525">
        <f t="shared" si="1"/>
        <v>0</v>
      </c>
      <c r="K16" s="509">
        <f t="shared" si="13"/>
        <v>504742.3775</v>
      </c>
      <c r="L16" s="510">
        <f t="shared" si="14"/>
        <v>7.1370103058168519</v>
      </c>
      <c r="M16" s="514" t="str">
        <f t="shared" si="16"/>
        <v>0</v>
      </c>
      <c r="N16" s="524">
        <f t="shared" si="10"/>
        <v>1</v>
      </c>
      <c r="O16" s="511"/>
      <c r="P16" s="513"/>
      <c r="Q16" s="528">
        <v>4</v>
      </c>
      <c r="R16" s="505" t="str">
        <f t="shared" si="2"/>
        <v>1</v>
      </c>
      <c r="S16" s="505" t="str">
        <f t="shared" si="17"/>
        <v>0</v>
      </c>
      <c r="T16" s="505" t="str">
        <f t="shared" si="4"/>
        <v>0</v>
      </c>
      <c r="U16" s="505" t="str">
        <f t="shared" si="5"/>
        <v>0</v>
      </c>
      <c r="V16" s="505" t="str">
        <f t="shared" si="6"/>
        <v>0</v>
      </c>
      <c r="W16" s="505" t="str">
        <f t="shared" si="15"/>
        <v>0</v>
      </c>
      <c r="Y16" s="505">
        <f t="shared" si="7"/>
        <v>1</v>
      </c>
      <c r="Z16" s="505">
        <f t="shared" si="8"/>
        <v>1</v>
      </c>
      <c r="AA16" s="505">
        <f t="shared" si="11"/>
        <v>0</v>
      </c>
      <c r="AB16" s="505">
        <f t="shared" si="12"/>
        <v>0</v>
      </c>
      <c r="AE16" s="515">
        <f t="shared" si="9"/>
        <v>7.1370103058168519</v>
      </c>
    </row>
    <row r="17" spans="1:31" s="505" customFormat="1" ht="35.1" customHeight="1" thickBot="1" x14ac:dyDescent="0.45">
      <c r="A17" s="505">
        <v>6</v>
      </c>
      <c r="B17" s="505">
        <v>6</v>
      </c>
      <c r="C17" s="516" t="s">
        <v>17</v>
      </c>
      <c r="D17" s="518">
        <v>1.28</v>
      </c>
      <c r="E17" s="518">
        <v>1.1599999999999999</v>
      </c>
      <c r="F17" s="518">
        <v>1.02</v>
      </c>
      <c r="G17" s="525">
        <f t="shared" si="0"/>
        <v>1</v>
      </c>
      <c r="H17" s="71">
        <v>4226493.41</v>
      </c>
      <c r="I17" s="71">
        <v>2411541.8199999998</v>
      </c>
      <c r="J17" s="525">
        <f t="shared" si="1"/>
        <v>0</v>
      </c>
      <c r="K17" s="509">
        <f t="shared" si="13"/>
        <v>200961.81833333333</v>
      </c>
      <c r="L17" s="510">
        <f t="shared" si="14"/>
        <v>21.031325477905252</v>
      </c>
      <c r="M17" s="514" t="str">
        <f t="shared" si="16"/>
        <v>0</v>
      </c>
      <c r="N17" s="520">
        <f t="shared" si="10"/>
        <v>1</v>
      </c>
      <c r="O17" s="511"/>
      <c r="P17" s="513"/>
      <c r="Q17" s="520">
        <v>2</v>
      </c>
      <c r="R17" s="505" t="str">
        <f t="shared" si="2"/>
        <v>1</v>
      </c>
      <c r="S17" s="505" t="str">
        <f t="shared" si="17"/>
        <v>0</v>
      </c>
      <c r="T17" s="505" t="str">
        <f t="shared" si="4"/>
        <v>0</v>
      </c>
      <c r="U17" s="505" t="str">
        <f t="shared" si="5"/>
        <v>0</v>
      </c>
      <c r="V17" s="505" t="str">
        <f t="shared" si="6"/>
        <v>0</v>
      </c>
      <c r="W17" s="505" t="str">
        <f t="shared" si="15"/>
        <v>0</v>
      </c>
      <c r="Y17" s="505">
        <f t="shared" si="7"/>
        <v>1</v>
      </c>
      <c r="Z17" s="505">
        <f t="shared" si="8"/>
        <v>1</v>
      </c>
      <c r="AA17" s="505">
        <f t="shared" si="11"/>
        <v>0</v>
      </c>
      <c r="AB17" s="505">
        <f t="shared" si="12"/>
        <v>0</v>
      </c>
      <c r="AE17" s="515">
        <f t="shared" si="9"/>
        <v>21.031325477905252</v>
      </c>
    </row>
    <row r="18" spans="1:31" s="505" customFormat="1" ht="35.1" customHeight="1" thickBot="1" x14ac:dyDescent="0.45">
      <c r="A18" s="505">
        <v>1</v>
      </c>
      <c r="B18" s="505">
        <v>1</v>
      </c>
      <c r="C18" s="506" t="s">
        <v>12</v>
      </c>
      <c r="D18" s="518">
        <v>3.61</v>
      </c>
      <c r="E18" s="518">
        <v>3.48</v>
      </c>
      <c r="F18" s="518">
        <v>2.17</v>
      </c>
      <c r="G18" s="525">
        <f t="shared" si="0"/>
        <v>0</v>
      </c>
      <c r="H18" s="71">
        <v>207984916.11000001</v>
      </c>
      <c r="I18" s="71">
        <v>41234699.060000002</v>
      </c>
      <c r="J18" s="525">
        <f t="shared" si="1"/>
        <v>0</v>
      </c>
      <c r="K18" s="509">
        <f t="shared" si="13"/>
        <v>3436224.9216666669</v>
      </c>
      <c r="L18" s="510">
        <f t="shared" si="14"/>
        <v>60.527154319433031</v>
      </c>
      <c r="M18" s="514" t="str">
        <f t="shared" si="16"/>
        <v>0</v>
      </c>
      <c r="N18" s="529">
        <f t="shared" si="10"/>
        <v>0</v>
      </c>
      <c r="O18" s="514"/>
      <c r="P18" s="521"/>
      <c r="Q18" s="529">
        <v>0</v>
      </c>
      <c r="R18" s="505" t="str">
        <f t="shared" si="2"/>
        <v>0</v>
      </c>
      <c r="S18" s="505" t="str">
        <f t="shared" si="17"/>
        <v>0</v>
      </c>
      <c r="T18" s="505" t="str">
        <f t="shared" si="4"/>
        <v>0</v>
      </c>
      <c r="U18" s="505" t="str">
        <f t="shared" si="5"/>
        <v>0</v>
      </c>
      <c r="V18" s="505" t="str">
        <f t="shared" si="6"/>
        <v>0</v>
      </c>
      <c r="W18" s="505" t="str">
        <f t="shared" si="15"/>
        <v>0</v>
      </c>
      <c r="Y18" s="505">
        <f t="shared" si="7"/>
        <v>0</v>
      </c>
      <c r="Z18" s="505">
        <f t="shared" si="8"/>
        <v>0</v>
      </c>
      <c r="AA18" s="505">
        <f t="shared" si="11"/>
        <v>0</v>
      </c>
      <c r="AB18" s="505">
        <f t="shared" si="12"/>
        <v>0</v>
      </c>
      <c r="AE18" s="515">
        <f t="shared" si="9"/>
        <v>60.527154319433031</v>
      </c>
    </row>
    <row r="19" spans="1:31" s="505" customFormat="1" ht="35.1" customHeight="1" thickBot="1" x14ac:dyDescent="0.45">
      <c r="A19" s="505">
        <v>7</v>
      </c>
      <c r="B19" s="505">
        <v>7</v>
      </c>
      <c r="C19" s="516" t="s">
        <v>18</v>
      </c>
      <c r="D19" s="518">
        <v>2.31</v>
      </c>
      <c r="E19" s="518">
        <v>2.12</v>
      </c>
      <c r="F19" s="518">
        <v>1.6</v>
      </c>
      <c r="G19" s="525">
        <f t="shared" si="0"/>
        <v>0</v>
      </c>
      <c r="H19" s="71">
        <v>36473473.789999999</v>
      </c>
      <c r="I19" s="71">
        <v>14886243.449999999</v>
      </c>
      <c r="J19" s="525">
        <f t="shared" si="1"/>
        <v>0</v>
      </c>
      <c r="K19" s="509">
        <f t="shared" si="13"/>
        <v>1240520.2874999999</v>
      </c>
      <c r="L19" s="510">
        <f t="shared" si="14"/>
        <v>29.401755180888166</v>
      </c>
      <c r="M19" s="514" t="str">
        <f t="shared" si="16"/>
        <v>0</v>
      </c>
      <c r="N19" s="529">
        <f t="shared" si="10"/>
        <v>0</v>
      </c>
      <c r="O19" s="514"/>
      <c r="P19" s="521"/>
      <c r="Q19" s="529">
        <v>0</v>
      </c>
      <c r="R19" s="505" t="str">
        <f t="shared" si="2"/>
        <v>0</v>
      </c>
      <c r="S19" s="505" t="str">
        <f t="shared" si="17"/>
        <v>0</v>
      </c>
      <c r="T19" s="505" t="str">
        <f t="shared" si="4"/>
        <v>0</v>
      </c>
      <c r="U19" s="505" t="str">
        <f t="shared" si="5"/>
        <v>0</v>
      </c>
      <c r="V19" s="505" t="str">
        <f t="shared" si="6"/>
        <v>0</v>
      </c>
      <c r="W19" s="505" t="str">
        <f t="shared" si="15"/>
        <v>0</v>
      </c>
      <c r="Y19" s="505">
        <f t="shared" si="7"/>
        <v>0</v>
      </c>
      <c r="Z19" s="505">
        <f t="shared" si="8"/>
        <v>0</v>
      </c>
      <c r="AA19" s="505">
        <f t="shared" si="11"/>
        <v>0</v>
      </c>
      <c r="AB19" s="505">
        <f t="shared" si="12"/>
        <v>0</v>
      </c>
      <c r="AE19" s="515">
        <f t="shared" si="9"/>
        <v>29.401755180888166</v>
      </c>
    </row>
    <row r="20" spans="1:31" s="505" customFormat="1" ht="35.1" customHeight="1" thickBot="1" x14ac:dyDescent="0.45">
      <c r="A20" s="505">
        <v>12</v>
      </c>
      <c r="B20" s="505">
        <v>12</v>
      </c>
      <c r="C20" s="516" t="s">
        <v>23</v>
      </c>
      <c r="D20" s="518">
        <v>1.56</v>
      </c>
      <c r="E20" s="518">
        <v>1.36</v>
      </c>
      <c r="F20" s="518">
        <v>1.18</v>
      </c>
      <c r="G20" s="525">
        <f t="shared" si="0"/>
        <v>0</v>
      </c>
      <c r="H20" s="71">
        <v>24663331.829999998</v>
      </c>
      <c r="I20" s="71">
        <v>4065439.41</v>
      </c>
      <c r="J20" s="525">
        <f t="shared" si="1"/>
        <v>0</v>
      </c>
      <c r="K20" s="509">
        <f t="shared" si="13"/>
        <v>338786.61749999999</v>
      </c>
      <c r="L20" s="510">
        <f t="shared" si="14"/>
        <v>72.799014353038899</v>
      </c>
      <c r="M20" s="514" t="str">
        <f t="shared" si="16"/>
        <v>0</v>
      </c>
      <c r="N20" s="522">
        <f t="shared" si="10"/>
        <v>0</v>
      </c>
      <c r="O20" s="511"/>
      <c r="P20" s="521"/>
      <c r="Q20" s="524">
        <v>1</v>
      </c>
      <c r="R20" s="505" t="str">
        <f t="shared" si="2"/>
        <v>0</v>
      </c>
      <c r="S20" s="505" t="str">
        <f t="shared" si="17"/>
        <v>0</v>
      </c>
      <c r="T20" s="505" t="str">
        <f t="shared" si="4"/>
        <v>0</v>
      </c>
      <c r="U20" s="505" t="str">
        <f t="shared" si="5"/>
        <v>0</v>
      </c>
      <c r="V20" s="505" t="str">
        <f t="shared" si="6"/>
        <v>0</v>
      </c>
      <c r="W20" s="505" t="str">
        <f t="shared" si="15"/>
        <v>0</v>
      </c>
      <c r="Y20" s="505">
        <f t="shared" si="7"/>
        <v>0</v>
      </c>
      <c r="Z20" s="505">
        <f t="shared" si="8"/>
        <v>0</v>
      </c>
      <c r="AA20" s="505">
        <f t="shared" si="11"/>
        <v>0</v>
      </c>
      <c r="AB20" s="505">
        <f t="shared" si="12"/>
        <v>0</v>
      </c>
      <c r="AE20" s="515">
        <f t="shared" si="9"/>
        <v>72.799014353038899</v>
      </c>
    </row>
    <row r="21" spans="1:31" ht="9" customHeight="1" x14ac:dyDescent="0.25">
      <c r="H21" s="530"/>
      <c r="I21" s="530"/>
      <c r="L21" s="531"/>
      <c r="M21" s="531"/>
      <c r="N21" s="531"/>
    </row>
    <row r="22" spans="1:31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31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60" t="s">
        <v>31</v>
      </c>
      <c r="M23" s="760"/>
      <c r="N23" s="760"/>
    </row>
    <row r="24" spans="1:31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60"/>
      <c r="M24" s="760"/>
      <c r="N24" s="760"/>
    </row>
    <row r="25" spans="1:31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60" t="s">
        <v>31</v>
      </c>
      <c r="M25" s="760"/>
      <c r="N25" s="760"/>
    </row>
    <row r="26" spans="1:31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60"/>
      <c r="M26" s="760"/>
      <c r="N26" s="760"/>
    </row>
    <row r="27" spans="1:31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61" t="s">
        <v>31</v>
      </c>
      <c r="L27" s="761"/>
      <c r="M27" s="543"/>
      <c r="N27" s="543"/>
    </row>
    <row r="28" spans="1:31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31" ht="11.25" customHeight="1" x14ac:dyDescent="0.25">
      <c r="I29" s="534"/>
      <c r="J29" s="534"/>
      <c r="K29" s="549"/>
      <c r="L29" s="550"/>
      <c r="M29" s="550"/>
      <c r="N29" s="550"/>
    </row>
    <row r="30" spans="1:31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60" t="s">
        <v>31</v>
      </c>
      <c r="M30" s="760"/>
      <c r="N30" s="760"/>
    </row>
    <row r="31" spans="1:31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60"/>
      <c r="M31" s="760"/>
      <c r="N31" s="760"/>
    </row>
    <row r="32" spans="1:31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sortState ref="A5:AA20">
    <sortCondition descending="1" ref="N5:N20"/>
  </sortState>
  <mergeCells count="22">
    <mergeCell ref="L23:N24"/>
    <mergeCell ref="L25:N26"/>
    <mergeCell ref="K27:L27"/>
    <mergeCell ref="L30:N31"/>
    <mergeCell ref="P2:P4"/>
    <mergeCell ref="O3:O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</mergeCells>
  <conditionalFormatting sqref="N5:N2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defaultRowHeight="14.25" x14ac:dyDescent="0.2"/>
  <cols>
    <col min="2" max="2" width="22.25" customWidth="1"/>
    <col min="13" max="13" width="2.25" bestFit="1" customWidth="1"/>
    <col min="14" max="14" width="2.625" bestFit="1" customWidth="1"/>
    <col min="15" max="15" width="2.5" bestFit="1" customWidth="1"/>
    <col min="16" max="16" width="2.375" bestFit="1" customWidth="1"/>
    <col min="17" max="17" width="2.5" customWidth="1"/>
    <col min="18" max="18" width="2.625" bestFit="1" customWidth="1"/>
    <col min="19" max="19" width="1.875" bestFit="1" customWidth="1"/>
  </cols>
  <sheetData>
    <row r="2" spans="2:20" ht="141.75" x14ac:dyDescent="0.25">
      <c r="B2" s="617" t="s">
        <v>133</v>
      </c>
      <c r="C2" s="616" t="s">
        <v>265</v>
      </c>
      <c r="D2" s="616" t="s">
        <v>266</v>
      </c>
      <c r="E2" s="616" t="s">
        <v>258</v>
      </c>
      <c r="F2" s="616" t="s">
        <v>260</v>
      </c>
      <c r="G2" s="616" t="s">
        <v>261</v>
      </c>
      <c r="H2" s="616" t="s">
        <v>262</v>
      </c>
      <c r="I2" s="616" t="s">
        <v>259</v>
      </c>
      <c r="J2" s="616" t="s">
        <v>227</v>
      </c>
      <c r="K2" s="616" t="s">
        <v>263</v>
      </c>
      <c r="M2" s="623" t="s">
        <v>269</v>
      </c>
      <c r="N2" s="623" t="s">
        <v>201</v>
      </c>
      <c r="O2" s="623" t="s">
        <v>202</v>
      </c>
      <c r="P2" s="623" t="s">
        <v>235</v>
      </c>
      <c r="Q2" s="623" t="s">
        <v>203</v>
      </c>
      <c r="R2" s="623" t="s">
        <v>204</v>
      </c>
      <c r="S2" s="623" t="s">
        <v>267</v>
      </c>
    </row>
    <row r="3" spans="2:20" ht="15.75" x14ac:dyDescent="0.25">
      <c r="B3" s="618" t="s">
        <v>19</v>
      </c>
      <c r="C3" s="619">
        <v>-0.62</v>
      </c>
      <c r="D3" s="619">
        <v>5.44</v>
      </c>
      <c r="E3" s="619">
        <v>3178.99</v>
      </c>
      <c r="F3" s="619">
        <v>36.950000000000003</v>
      </c>
      <c r="G3" s="619">
        <v>51.58</v>
      </c>
      <c r="H3" s="619">
        <v>291.94</v>
      </c>
      <c r="I3" s="619">
        <v>24.73</v>
      </c>
      <c r="J3" s="624">
        <f>+T3</f>
        <v>4</v>
      </c>
      <c r="K3" s="622"/>
      <c r="M3">
        <v>0</v>
      </c>
      <c r="N3">
        <v>1</v>
      </c>
      <c r="O3">
        <v>0</v>
      </c>
      <c r="P3">
        <v>1</v>
      </c>
      <c r="Q3">
        <v>1</v>
      </c>
      <c r="R3">
        <v>0</v>
      </c>
      <c r="S3">
        <v>1</v>
      </c>
      <c r="T3">
        <f>SUM(M3:S3)</f>
        <v>4</v>
      </c>
    </row>
    <row r="4" spans="2:20" ht="15.75" x14ac:dyDescent="0.25">
      <c r="B4" s="618" t="s">
        <v>27</v>
      </c>
      <c r="C4" s="619">
        <v>-9.31</v>
      </c>
      <c r="D4" s="619">
        <v>-1.0900000000000001</v>
      </c>
      <c r="E4" s="619">
        <v>1316.06</v>
      </c>
      <c r="F4" s="619">
        <v>92.63</v>
      </c>
      <c r="G4" s="619">
        <v>59.22</v>
      </c>
      <c r="H4" s="619">
        <v>180.04</v>
      </c>
      <c r="I4" s="619">
        <v>0</v>
      </c>
      <c r="J4" s="624">
        <f t="shared" ref="J4:J18" si="0">+T4</f>
        <v>2</v>
      </c>
      <c r="K4" s="622"/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1</v>
      </c>
      <c r="T4">
        <f t="shared" ref="T4:T18" si="1">SUM(M4:S4)</f>
        <v>2</v>
      </c>
    </row>
    <row r="5" spans="2:20" ht="15.75" x14ac:dyDescent="0.25">
      <c r="B5" s="618" t="s">
        <v>13</v>
      </c>
      <c r="C5" s="619">
        <v>-25.17</v>
      </c>
      <c r="D5" s="619">
        <v>-5.93</v>
      </c>
      <c r="E5" s="619">
        <v>1542.17</v>
      </c>
      <c r="F5" s="619">
        <v>221.7</v>
      </c>
      <c r="G5" s="619">
        <v>96.18</v>
      </c>
      <c r="H5" s="619">
        <v>201.68</v>
      </c>
      <c r="I5" s="619">
        <v>22.5</v>
      </c>
      <c r="J5" s="624">
        <f t="shared" si="0"/>
        <v>1</v>
      </c>
      <c r="K5" s="622"/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f t="shared" si="1"/>
        <v>1</v>
      </c>
    </row>
    <row r="6" spans="2:20" ht="15.75" x14ac:dyDescent="0.25">
      <c r="B6" s="618" t="s">
        <v>25</v>
      </c>
      <c r="C6" s="619">
        <v>-7.13</v>
      </c>
      <c r="D6" s="619">
        <v>-1.78</v>
      </c>
      <c r="E6" s="619">
        <v>2386.89</v>
      </c>
      <c r="F6" s="619">
        <v>30.63</v>
      </c>
      <c r="G6" s="619">
        <v>129.99</v>
      </c>
      <c r="H6" s="619">
        <v>268.18</v>
      </c>
      <c r="I6" s="619">
        <v>5.48</v>
      </c>
      <c r="J6" s="624">
        <f t="shared" si="0"/>
        <v>2</v>
      </c>
      <c r="K6" s="622"/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1</v>
      </c>
      <c r="T6">
        <f t="shared" si="1"/>
        <v>2</v>
      </c>
    </row>
    <row r="7" spans="2:20" ht="15.75" x14ac:dyDescent="0.25">
      <c r="B7" s="618" t="s">
        <v>15</v>
      </c>
      <c r="C7" s="619">
        <v>-19.329999999999998</v>
      </c>
      <c r="D7" s="619">
        <v>-6.58</v>
      </c>
      <c r="E7" s="619">
        <v>2488.85</v>
      </c>
      <c r="F7" s="619">
        <v>89.41</v>
      </c>
      <c r="G7" s="619">
        <v>113.53</v>
      </c>
      <c r="H7" s="619">
        <v>229.48</v>
      </c>
      <c r="I7" s="619">
        <v>69.88</v>
      </c>
      <c r="J7" s="624">
        <f t="shared" si="0"/>
        <v>0</v>
      </c>
      <c r="K7" s="622"/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1"/>
        <v>0</v>
      </c>
    </row>
    <row r="8" spans="2:20" ht="15.75" x14ac:dyDescent="0.25">
      <c r="B8" s="618" t="s">
        <v>21</v>
      </c>
      <c r="C8" s="619">
        <v>-10.25</v>
      </c>
      <c r="D8" s="619">
        <v>-4.88</v>
      </c>
      <c r="E8" s="620">
        <v>3846.28</v>
      </c>
      <c r="F8" s="619">
        <v>87.73</v>
      </c>
      <c r="G8" s="619">
        <v>106.16</v>
      </c>
      <c r="H8" s="619">
        <v>235.1</v>
      </c>
      <c r="I8" s="619">
        <v>34.6</v>
      </c>
      <c r="J8" s="624">
        <f t="shared" si="0"/>
        <v>1</v>
      </c>
      <c r="K8" s="622"/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f t="shared" si="1"/>
        <v>1</v>
      </c>
    </row>
    <row r="9" spans="2:20" ht="15.75" x14ac:dyDescent="0.25">
      <c r="B9" s="618" t="s">
        <v>16</v>
      </c>
      <c r="C9" s="619">
        <v>-13.5</v>
      </c>
      <c r="D9" s="619">
        <v>-5.46</v>
      </c>
      <c r="E9" s="619">
        <v>148.13</v>
      </c>
      <c r="F9" s="619">
        <v>178</v>
      </c>
      <c r="G9" s="619">
        <v>73.05</v>
      </c>
      <c r="H9" s="619">
        <v>84.53</v>
      </c>
      <c r="I9" s="619">
        <v>49.07</v>
      </c>
      <c r="J9" s="624">
        <f t="shared" si="0"/>
        <v>1</v>
      </c>
      <c r="K9" s="622"/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f t="shared" si="1"/>
        <v>1</v>
      </c>
    </row>
    <row r="10" spans="2:20" ht="15.75" x14ac:dyDescent="0.25">
      <c r="B10" s="618" t="s">
        <v>20</v>
      </c>
      <c r="C10" s="619">
        <v>-15.06</v>
      </c>
      <c r="D10" s="619">
        <v>16.940000000000001</v>
      </c>
      <c r="E10" s="619">
        <v>1424.74</v>
      </c>
      <c r="F10" s="619">
        <v>33.700000000000003</v>
      </c>
      <c r="G10" s="619">
        <v>63.39</v>
      </c>
      <c r="H10" s="619">
        <v>226.13</v>
      </c>
      <c r="I10" s="619">
        <v>13.36</v>
      </c>
      <c r="J10" s="624">
        <f t="shared" si="0"/>
        <v>3</v>
      </c>
      <c r="K10" s="622"/>
      <c r="M10">
        <v>0</v>
      </c>
      <c r="N10">
        <v>1</v>
      </c>
      <c r="O10">
        <v>0</v>
      </c>
      <c r="P10">
        <v>1</v>
      </c>
      <c r="Q10">
        <v>0</v>
      </c>
      <c r="R10">
        <v>0</v>
      </c>
      <c r="S10">
        <v>1</v>
      </c>
      <c r="T10">
        <f t="shared" si="1"/>
        <v>3</v>
      </c>
    </row>
    <row r="11" spans="2:20" ht="15.75" x14ac:dyDescent="0.25">
      <c r="B11" s="618" t="s">
        <v>24</v>
      </c>
      <c r="C11" s="619">
        <v>-22.08</v>
      </c>
      <c r="D11" s="619">
        <v>-14.12</v>
      </c>
      <c r="E11" s="619">
        <v>766.91</v>
      </c>
      <c r="F11" s="619">
        <v>14.41</v>
      </c>
      <c r="G11" s="619">
        <v>54.99</v>
      </c>
      <c r="H11" s="619">
        <v>171.36</v>
      </c>
      <c r="I11" s="619">
        <v>25.29</v>
      </c>
      <c r="J11" s="624">
        <f t="shared" si="0"/>
        <v>3</v>
      </c>
      <c r="K11" s="622"/>
      <c r="M11">
        <v>0</v>
      </c>
      <c r="N11">
        <v>0</v>
      </c>
      <c r="O11">
        <v>0</v>
      </c>
      <c r="P11">
        <v>1</v>
      </c>
      <c r="Q11">
        <v>1</v>
      </c>
      <c r="R11">
        <v>0</v>
      </c>
      <c r="S11">
        <v>1</v>
      </c>
      <c r="T11">
        <f t="shared" si="1"/>
        <v>3</v>
      </c>
    </row>
    <row r="12" spans="2:20" ht="15.75" x14ac:dyDescent="0.25">
      <c r="B12" s="618" t="s">
        <v>14</v>
      </c>
      <c r="C12" s="619">
        <v>-4.21</v>
      </c>
      <c r="D12" s="619">
        <v>1.56</v>
      </c>
      <c r="E12" s="619">
        <v>13578</v>
      </c>
      <c r="F12" s="619">
        <v>31.51</v>
      </c>
      <c r="G12" s="619">
        <v>41.75</v>
      </c>
      <c r="H12" s="619">
        <v>224.37</v>
      </c>
      <c r="I12" s="619">
        <v>6.58</v>
      </c>
      <c r="J12" s="624">
        <f t="shared" si="0"/>
        <v>4</v>
      </c>
      <c r="K12" s="622"/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f t="shared" si="1"/>
        <v>4</v>
      </c>
    </row>
    <row r="13" spans="2:20" ht="15.75" x14ac:dyDescent="0.25">
      <c r="B13" s="618" t="s">
        <v>22</v>
      </c>
      <c r="C13" s="619">
        <v>-1.29</v>
      </c>
      <c r="D13" s="619">
        <v>3.28</v>
      </c>
      <c r="E13" s="619">
        <v>2669.37</v>
      </c>
      <c r="F13" s="619">
        <v>53.11</v>
      </c>
      <c r="G13" s="619">
        <v>57.25</v>
      </c>
      <c r="H13" s="619">
        <v>127.71</v>
      </c>
      <c r="I13" s="619">
        <v>43.24</v>
      </c>
      <c r="J13" s="624">
        <f t="shared" si="0"/>
        <v>4</v>
      </c>
      <c r="K13" s="622"/>
      <c r="M13">
        <v>0</v>
      </c>
      <c r="N13">
        <v>1</v>
      </c>
      <c r="O13">
        <v>0</v>
      </c>
      <c r="P13">
        <v>1</v>
      </c>
      <c r="Q13">
        <v>1</v>
      </c>
      <c r="R13">
        <v>0</v>
      </c>
      <c r="S13">
        <v>1</v>
      </c>
      <c r="T13">
        <f t="shared" si="1"/>
        <v>4</v>
      </c>
    </row>
    <row r="14" spans="2:20" ht="15.75" x14ac:dyDescent="0.25">
      <c r="B14" s="618" t="s">
        <v>18</v>
      </c>
      <c r="C14" s="619">
        <v>-10.84</v>
      </c>
      <c r="D14" s="619">
        <v>8.42</v>
      </c>
      <c r="E14" s="619">
        <v>1154.3599999999999</v>
      </c>
      <c r="F14" s="619">
        <v>118.6</v>
      </c>
      <c r="G14" s="619">
        <v>217.1</v>
      </c>
      <c r="H14" s="619">
        <v>347.96</v>
      </c>
      <c r="I14" s="619">
        <v>2206.0300000000002</v>
      </c>
      <c r="J14" s="624">
        <f t="shared" si="0"/>
        <v>1</v>
      </c>
      <c r="K14" s="622"/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1"/>
        <v>1</v>
      </c>
    </row>
    <row r="15" spans="2:20" ht="15.75" x14ac:dyDescent="0.25">
      <c r="B15" s="618" t="s">
        <v>23</v>
      </c>
      <c r="C15" s="619">
        <v>-13.01</v>
      </c>
      <c r="D15" s="619">
        <v>3.04</v>
      </c>
      <c r="E15" s="619">
        <v>340.59</v>
      </c>
      <c r="F15" s="619">
        <v>95.51</v>
      </c>
      <c r="G15" s="619">
        <v>162.13</v>
      </c>
      <c r="H15" s="619">
        <v>354.85</v>
      </c>
      <c r="I15" s="619">
        <v>121.78</v>
      </c>
      <c r="J15" s="624">
        <f t="shared" si="0"/>
        <v>1</v>
      </c>
      <c r="K15" s="622"/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1"/>
        <v>1</v>
      </c>
    </row>
    <row r="16" spans="2:20" ht="15.75" x14ac:dyDescent="0.25">
      <c r="B16" s="618" t="s">
        <v>26</v>
      </c>
      <c r="C16" s="619">
        <v>1.08</v>
      </c>
      <c r="D16" s="619">
        <v>10.210000000000001</v>
      </c>
      <c r="E16" s="619">
        <v>2692.25</v>
      </c>
      <c r="F16" s="619">
        <v>59.92</v>
      </c>
      <c r="G16" s="619">
        <v>48.46</v>
      </c>
      <c r="H16" s="619">
        <v>205.8</v>
      </c>
      <c r="I16" s="619">
        <v>39.880000000000003</v>
      </c>
      <c r="J16" s="624">
        <f t="shared" si="0"/>
        <v>5</v>
      </c>
      <c r="K16" s="622"/>
      <c r="M16">
        <v>1</v>
      </c>
      <c r="N16">
        <v>1</v>
      </c>
      <c r="O16">
        <v>0</v>
      </c>
      <c r="P16">
        <v>1</v>
      </c>
      <c r="Q16">
        <v>1</v>
      </c>
      <c r="R16">
        <v>0</v>
      </c>
      <c r="S16">
        <v>1</v>
      </c>
      <c r="T16">
        <f t="shared" si="1"/>
        <v>5</v>
      </c>
    </row>
    <row r="17" spans="2:20" ht="15.75" x14ac:dyDescent="0.25">
      <c r="B17" s="618" t="s">
        <v>12</v>
      </c>
      <c r="C17" s="619">
        <v>-7.73</v>
      </c>
      <c r="D17" s="619">
        <v>2.99</v>
      </c>
      <c r="E17" s="619">
        <v>501.98</v>
      </c>
      <c r="F17" s="619">
        <v>216.61</v>
      </c>
      <c r="G17" s="619">
        <v>108.72</v>
      </c>
      <c r="H17" s="619">
        <v>115.78</v>
      </c>
      <c r="I17" s="619">
        <v>1.43</v>
      </c>
      <c r="J17" s="624">
        <f t="shared" si="0"/>
        <v>2</v>
      </c>
      <c r="K17" s="622"/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1</v>
      </c>
      <c r="T17">
        <f t="shared" si="1"/>
        <v>2</v>
      </c>
    </row>
    <row r="18" spans="2:20" ht="15.75" x14ac:dyDescent="0.25">
      <c r="B18" s="618" t="s">
        <v>17</v>
      </c>
      <c r="C18" s="619">
        <v>-2.67</v>
      </c>
      <c r="D18" s="619">
        <v>3.38</v>
      </c>
      <c r="E18" s="619">
        <v>960.08</v>
      </c>
      <c r="F18" s="619">
        <v>10.53</v>
      </c>
      <c r="G18" s="619">
        <v>123.02</v>
      </c>
      <c r="H18" s="619">
        <v>236.47</v>
      </c>
      <c r="I18" s="619">
        <v>0</v>
      </c>
      <c r="J18" s="624">
        <f t="shared" si="0"/>
        <v>3</v>
      </c>
      <c r="K18" s="622"/>
      <c r="M18">
        <v>0</v>
      </c>
      <c r="N18">
        <v>1</v>
      </c>
      <c r="O18">
        <v>0</v>
      </c>
      <c r="P18">
        <v>1</v>
      </c>
      <c r="Q18">
        <v>0</v>
      </c>
      <c r="R18">
        <v>0</v>
      </c>
      <c r="S18">
        <v>1</v>
      </c>
      <c r="T18">
        <f t="shared" si="1"/>
        <v>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3"/>
  <sheetViews>
    <sheetView topLeftCell="B1" zoomScale="50" zoomScaleNormal="50" workbookViewId="0">
      <selection activeCell="Y31" sqref="Y31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16384" width="9" style="499"/>
  </cols>
  <sheetData>
    <row r="1" spans="1:25" ht="41.25" customHeight="1" thickBot="1" x14ac:dyDescent="0.3">
      <c r="C1" s="733" t="s">
        <v>256</v>
      </c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500"/>
      <c r="P1" s="500"/>
    </row>
    <row r="2" spans="1:25" ht="60.75" customHeight="1" thickBot="1" x14ac:dyDescent="0.3">
      <c r="C2" s="727" t="s">
        <v>1</v>
      </c>
      <c r="D2" s="734" t="s">
        <v>161</v>
      </c>
      <c r="E2" s="734"/>
      <c r="F2" s="734"/>
      <c r="G2" s="734"/>
      <c r="H2" s="735" t="s">
        <v>162</v>
      </c>
      <c r="I2" s="735"/>
      <c r="J2" s="735"/>
      <c r="K2" s="736" t="s">
        <v>163</v>
      </c>
      <c r="L2" s="736"/>
      <c r="M2" s="736"/>
      <c r="N2" s="737" t="s">
        <v>264</v>
      </c>
      <c r="O2" s="501"/>
      <c r="P2" s="762" t="s">
        <v>165</v>
      </c>
      <c r="R2" s="502"/>
    </row>
    <row r="3" spans="1:25" ht="63" customHeight="1" thickBot="1" x14ac:dyDescent="0.3">
      <c r="C3" s="727"/>
      <c r="D3" s="740" t="s">
        <v>2</v>
      </c>
      <c r="E3" s="740" t="s">
        <v>3</v>
      </c>
      <c r="F3" s="740" t="s">
        <v>4</v>
      </c>
      <c r="G3" s="741" t="s">
        <v>166</v>
      </c>
      <c r="H3" s="742" t="s">
        <v>167</v>
      </c>
      <c r="I3" s="727" t="s">
        <v>168</v>
      </c>
      <c r="J3" s="730" t="s">
        <v>166</v>
      </c>
      <c r="K3" s="732" t="s">
        <v>169</v>
      </c>
      <c r="L3" s="727" t="s">
        <v>170</v>
      </c>
      <c r="M3" s="738" t="s">
        <v>166</v>
      </c>
      <c r="N3" s="737"/>
      <c r="O3" s="763" t="s">
        <v>80</v>
      </c>
      <c r="P3" s="762"/>
      <c r="R3" s="502"/>
    </row>
    <row r="4" spans="1:25" ht="86.25" customHeight="1" thickBot="1" x14ac:dyDescent="0.3">
      <c r="C4" s="727"/>
      <c r="D4" s="740"/>
      <c r="E4" s="740"/>
      <c r="F4" s="740"/>
      <c r="G4" s="741"/>
      <c r="H4" s="742"/>
      <c r="I4" s="727"/>
      <c r="J4" s="731"/>
      <c r="K4" s="732"/>
      <c r="L4" s="727"/>
      <c r="M4" s="739"/>
      <c r="N4" s="737"/>
      <c r="O4" s="763"/>
      <c r="P4" s="762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</row>
    <row r="5" spans="1:25" s="505" customFormat="1" ht="35.1" customHeight="1" thickBot="1" x14ac:dyDescent="0.4">
      <c r="A5" s="505">
        <v>13</v>
      </c>
      <c r="B5" s="505">
        <v>13</v>
      </c>
      <c r="C5" s="516" t="s">
        <v>24</v>
      </c>
      <c r="D5" s="507">
        <v>1.1499999999999999</v>
      </c>
      <c r="E5" s="518">
        <v>0.97</v>
      </c>
      <c r="F5" s="518">
        <v>0.78</v>
      </c>
      <c r="G5" s="505">
        <f t="shared" ref="G5:G20" si="0">(IF(D5&lt;1.5,1,0))+(IF(E5&lt;1,1,0))+(IF(F5&lt;0.8,1,0))</f>
        <v>3</v>
      </c>
      <c r="H5" s="71">
        <v>916171.32</v>
      </c>
      <c r="I5" s="69">
        <v>-5613694.8700000001</v>
      </c>
      <c r="J5" s="505">
        <f t="shared" ref="J5:J20" si="1">IF(I5&lt;0,1,0)+IF(H5&lt;0,1,0)</f>
        <v>1</v>
      </c>
      <c r="K5" s="509">
        <f t="shared" ref="K5:K20" si="2">SUM(I5/12)</f>
        <v>-467807.90583333332</v>
      </c>
      <c r="L5" s="515">
        <f t="shared" ref="L5:L20" si="3">H5/K5</f>
        <v>-1.9584348801629825</v>
      </c>
      <c r="M5" s="505">
        <f t="shared" ref="M5:M20" si="4">IF(I5&lt;0,IF((H5/-(I5/12))&lt;3,2,IF((H5/(-I5/12))&lt;6,1,0)),0)</f>
        <v>2</v>
      </c>
      <c r="N5" s="519">
        <f>+Y5</f>
        <v>6</v>
      </c>
      <c r="O5" s="523"/>
      <c r="P5" s="521"/>
      <c r="Q5" s="522">
        <v>1</v>
      </c>
      <c r="R5" s="505" t="str">
        <f t="shared" ref="R5:R20" si="5">IF(D5&lt;1.5,"1",IF(D5&gt;=1.5,"0"))</f>
        <v>1</v>
      </c>
      <c r="S5" s="505" t="str">
        <f t="shared" ref="S5:S13" si="6">IF(E5&lt;=1,"1",IF(E5&gt;1,"0"))</f>
        <v>1</v>
      </c>
      <c r="T5" s="505" t="str">
        <f t="shared" ref="T5:T20" si="7">IF(F5&lt;0.8,"1",IF(F5&gt;=0.8,"0"))</f>
        <v>1</v>
      </c>
      <c r="U5" s="505" t="str">
        <f t="shared" ref="U5:U20" si="8">IF(H5&lt;0,"1",IF(H5&gt;=0,"0"))</f>
        <v>0</v>
      </c>
      <c r="V5" s="505" t="str">
        <f t="shared" ref="V5:V20" si="9">IF(I5&lt;0,"1",IF(I5&gt;=0,"0"))</f>
        <v>1</v>
      </c>
      <c r="W5" s="505">
        <f t="shared" ref="W5:W20" si="10">IF(I5&lt;0,IF((H5/-(I5/12))&lt;3,2,IF((H5/(-I5/12))&lt;6,1,0)),0)</f>
        <v>2</v>
      </c>
      <c r="Y5" s="505">
        <f t="shared" ref="Y5:Y20" si="11">+R5+S5+T5+U5+V5+W5</f>
        <v>6</v>
      </c>
    </row>
    <row r="6" spans="1:25" s="505" customFormat="1" ht="35.1" customHeight="1" thickBot="1" x14ac:dyDescent="0.4">
      <c r="A6" s="505">
        <v>2</v>
      </c>
      <c r="B6" s="505">
        <v>2</v>
      </c>
      <c r="C6" s="506" t="s">
        <v>13</v>
      </c>
      <c r="D6" s="507">
        <v>1.1100000000000001</v>
      </c>
      <c r="E6" s="507">
        <v>0.92</v>
      </c>
      <c r="F6" s="507">
        <v>0.56999999999999995</v>
      </c>
      <c r="G6" s="505">
        <f t="shared" si="0"/>
        <v>3</v>
      </c>
      <c r="H6" s="71">
        <v>9713770.5</v>
      </c>
      <c r="I6" s="69">
        <v>-24435151.18</v>
      </c>
      <c r="J6" s="505">
        <f t="shared" si="1"/>
        <v>1</v>
      </c>
      <c r="K6" s="509">
        <f t="shared" si="2"/>
        <v>-2036262.5983333334</v>
      </c>
      <c r="L6" s="515">
        <f t="shared" si="3"/>
        <v>-4.7703918482570238</v>
      </c>
      <c r="M6" s="505">
        <f t="shared" si="4"/>
        <v>1</v>
      </c>
      <c r="N6" s="512">
        <f>+G6+J6+M6</f>
        <v>5</v>
      </c>
      <c r="O6" s="511"/>
      <c r="P6" s="513"/>
      <c r="Q6" s="514">
        <v>0</v>
      </c>
      <c r="R6" s="505" t="str">
        <f t="shared" si="5"/>
        <v>1</v>
      </c>
      <c r="S6" s="505" t="str">
        <f t="shared" si="6"/>
        <v>1</v>
      </c>
      <c r="T6" s="505" t="str">
        <f t="shared" si="7"/>
        <v>1</v>
      </c>
      <c r="U6" s="505" t="str">
        <f t="shared" si="8"/>
        <v>0</v>
      </c>
      <c r="V6" s="505" t="str">
        <f t="shared" si="9"/>
        <v>1</v>
      </c>
      <c r="W6" s="505">
        <f t="shared" si="10"/>
        <v>1</v>
      </c>
      <c r="Y6" s="505">
        <f t="shared" si="11"/>
        <v>5</v>
      </c>
    </row>
    <row r="7" spans="1:25" s="505" customFormat="1" ht="35.1" customHeight="1" thickBot="1" x14ac:dyDescent="0.4">
      <c r="A7" s="505">
        <v>8</v>
      </c>
      <c r="B7" s="505">
        <v>8</v>
      </c>
      <c r="C7" s="516" t="s">
        <v>19</v>
      </c>
      <c r="D7" s="507">
        <v>0.84</v>
      </c>
      <c r="E7" s="507">
        <v>0.68</v>
      </c>
      <c r="F7" s="507">
        <v>0.53</v>
      </c>
      <c r="G7" s="505">
        <f t="shared" si="0"/>
        <v>3</v>
      </c>
      <c r="H7" s="69">
        <v>-3381011.02</v>
      </c>
      <c r="I7" s="71">
        <v>4577074.92</v>
      </c>
      <c r="J7" s="505">
        <f t="shared" si="1"/>
        <v>1</v>
      </c>
      <c r="K7" s="509">
        <f t="shared" si="2"/>
        <v>381422.91</v>
      </c>
      <c r="L7" s="515">
        <f t="shared" si="3"/>
        <v>-8.8642054039176621</v>
      </c>
      <c r="M7" s="505">
        <f t="shared" si="4"/>
        <v>0</v>
      </c>
      <c r="N7" s="512">
        <f t="shared" ref="N7:N20" si="12">+Y7</f>
        <v>4</v>
      </c>
      <c r="O7" s="511"/>
      <c r="P7" s="513"/>
      <c r="Q7" s="512">
        <v>4</v>
      </c>
      <c r="R7" s="505" t="str">
        <f t="shared" si="5"/>
        <v>1</v>
      </c>
      <c r="S7" s="505" t="str">
        <f t="shared" si="6"/>
        <v>1</v>
      </c>
      <c r="T7" s="505" t="str">
        <f t="shared" si="7"/>
        <v>1</v>
      </c>
      <c r="U7" s="505" t="str">
        <f t="shared" si="8"/>
        <v>1</v>
      </c>
      <c r="V7" s="505" t="str">
        <f t="shared" si="9"/>
        <v>0</v>
      </c>
      <c r="W7" s="505">
        <f t="shared" si="10"/>
        <v>0</v>
      </c>
      <c r="Y7" s="505">
        <f t="shared" si="11"/>
        <v>4</v>
      </c>
    </row>
    <row r="8" spans="1:25" s="505" customFormat="1" ht="35.1" customHeight="1" thickBot="1" x14ac:dyDescent="0.4">
      <c r="A8" s="505">
        <v>16</v>
      </c>
      <c r="B8" s="505">
        <v>16</v>
      </c>
      <c r="C8" s="506" t="s">
        <v>27</v>
      </c>
      <c r="D8" s="507">
        <v>1.1000000000000001</v>
      </c>
      <c r="E8" s="518">
        <v>0.95</v>
      </c>
      <c r="F8" s="518">
        <v>0.7</v>
      </c>
      <c r="G8" s="505">
        <f t="shared" si="0"/>
        <v>3</v>
      </c>
      <c r="H8" s="71">
        <v>652074.34</v>
      </c>
      <c r="I8" s="71">
        <v>-514512.89</v>
      </c>
      <c r="J8" s="505">
        <f t="shared" si="1"/>
        <v>1</v>
      </c>
      <c r="K8" s="509">
        <f t="shared" si="2"/>
        <v>-42876.074166666665</v>
      </c>
      <c r="L8" s="515">
        <f t="shared" si="3"/>
        <v>-15.208349940465048</v>
      </c>
      <c r="M8" s="505">
        <f t="shared" si="4"/>
        <v>0</v>
      </c>
      <c r="N8" s="522">
        <f t="shared" si="12"/>
        <v>4</v>
      </c>
      <c r="O8" s="511"/>
      <c r="P8" s="513"/>
      <c r="Q8" s="528">
        <v>4</v>
      </c>
      <c r="R8" s="505" t="str">
        <f t="shared" si="5"/>
        <v>1</v>
      </c>
      <c r="S8" s="505" t="str">
        <f t="shared" si="6"/>
        <v>1</v>
      </c>
      <c r="T8" s="505" t="str">
        <f t="shared" si="7"/>
        <v>1</v>
      </c>
      <c r="U8" s="505" t="str">
        <f t="shared" si="8"/>
        <v>0</v>
      </c>
      <c r="V8" s="505" t="str">
        <f t="shared" si="9"/>
        <v>1</v>
      </c>
      <c r="W8" s="505">
        <f t="shared" si="10"/>
        <v>0</v>
      </c>
      <c r="Y8" s="505">
        <f t="shared" si="11"/>
        <v>4</v>
      </c>
    </row>
    <row r="9" spans="1:25" s="505" customFormat="1" ht="35.1" customHeight="1" thickBot="1" x14ac:dyDescent="0.4">
      <c r="A9" s="505">
        <v>14</v>
      </c>
      <c r="B9" s="505">
        <v>14</v>
      </c>
      <c r="C9" s="516" t="s">
        <v>25</v>
      </c>
      <c r="D9" s="507">
        <v>1.1399999999999999</v>
      </c>
      <c r="E9" s="507">
        <v>1.03</v>
      </c>
      <c r="F9" s="507">
        <v>0.52</v>
      </c>
      <c r="G9" s="505">
        <f t="shared" si="0"/>
        <v>2</v>
      </c>
      <c r="H9" s="71">
        <v>2284027.02</v>
      </c>
      <c r="I9" s="69">
        <v>-1807926.87</v>
      </c>
      <c r="J9" s="505">
        <f t="shared" si="1"/>
        <v>1</v>
      </c>
      <c r="K9" s="509">
        <f t="shared" si="2"/>
        <v>-150660.57250000001</v>
      </c>
      <c r="L9" s="515">
        <f t="shared" si="3"/>
        <v>-15.160084566916138</v>
      </c>
      <c r="M9" s="505">
        <f t="shared" si="4"/>
        <v>0</v>
      </c>
      <c r="N9" s="517">
        <f t="shared" si="12"/>
        <v>3</v>
      </c>
      <c r="O9" s="511"/>
      <c r="P9" s="513"/>
      <c r="Q9" s="517">
        <v>5</v>
      </c>
      <c r="R9" s="505" t="str">
        <f t="shared" si="5"/>
        <v>1</v>
      </c>
      <c r="S9" s="505" t="str">
        <f t="shared" si="6"/>
        <v>0</v>
      </c>
      <c r="T9" s="505" t="str">
        <f t="shared" si="7"/>
        <v>1</v>
      </c>
      <c r="U9" s="505" t="str">
        <f t="shared" si="8"/>
        <v>0</v>
      </c>
      <c r="V9" s="505" t="str">
        <f t="shared" si="9"/>
        <v>1</v>
      </c>
      <c r="W9" s="505">
        <f t="shared" si="10"/>
        <v>0</v>
      </c>
      <c r="Y9" s="505">
        <f t="shared" si="11"/>
        <v>3</v>
      </c>
    </row>
    <row r="10" spans="1:25" s="505" customFormat="1" ht="35.1" customHeight="1" thickBot="1" x14ac:dyDescent="0.4">
      <c r="A10" s="505">
        <v>10</v>
      </c>
      <c r="B10" s="505">
        <v>10</v>
      </c>
      <c r="C10" s="516" t="s">
        <v>21</v>
      </c>
      <c r="D10" s="507">
        <v>1.39</v>
      </c>
      <c r="E10" s="518">
        <v>1.2</v>
      </c>
      <c r="F10" s="518">
        <v>0.72</v>
      </c>
      <c r="G10" s="505">
        <f t="shared" si="0"/>
        <v>2</v>
      </c>
      <c r="H10" s="71">
        <v>4564385.74</v>
      </c>
      <c r="I10" s="69">
        <v>-4001728.48</v>
      </c>
      <c r="J10" s="505">
        <f t="shared" si="1"/>
        <v>1</v>
      </c>
      <c r="K10" s="509">
        <f t="shared" si="2"/>
        <v>-333477.37333333335</v>
      </c>
      <c r="L10" s="515">
        <f t="shared" si="3"/>
        <v>-13.687242688689363</v>
      </c>
      <c r="M10" s="505">
        <f t="shared" si="4"/>
        <v>0</v>
      </c>
      <c r="N10" s="519">
        <f t="shared" si="12"/>
        <v>3</v>
      </c>
      <c r="O10" s="511"/>
      <c r="P10" s="521"/>
      <c r="Q10" s="524">
        <v>1</v>
      </c>
      <c r="R10" s="505" t="str">
        <f t="shared" si="5"/>
        <v>1</v>
      </c>
      <c r="S10" s="505" t="str">
        <f t="shared" si="6"/>
        <v>0</v>
      </c>
      <c r="T10" s="505" t="str">
        <f t="shared" si="7"/>
        <v>1</v>
      </c>
      <c r="U10" s="505" t="str">
        <f t="shared" si="8"/>
        <v>0</v>
      </c>
      <c r="V10" s="505" t="str">
        <f t="shared" si="9"/>
        <v>1</v>
      </c>
      <c r="W10" s="505">
        <f t="shared" si="10"/>
        <v>0</v>
      </c>
      <c r="Y10" s="505">
        <f t="shared" si="11"/>
        <v>3</v>
      </c>
    </row>
    <row r="11" spans="1:25" s="505" customFormat="1" ht="35.1" customHeight="1" thickBot="1" x14ac:dyDescent="0.4">
      <c r="A11" s="505">
        <v>11</v>
      </c>
      <c r="B11" s="505">
        <v>11</v>
      </c>
      <c r="C11" s="516" t="s">
        <v>22</v>
      </c>
      <c r="D11" s="507">
        <v>1.2</v>
      </c>
      <c r="E11" s="518">
        <v>0.98</v>
      </c>
      <c r="F11" s="518">
        <v>0.73</v>
      </c>
      <c r="G11" s="505">
        <f t="shared" si="0"/>
        <v>3</v>
      </c>
      <c r="H11" s="71">
        <v>2142777.0499999998</v>
      </c>
      <c r="I11" s="71">
        <v>2733343.47</v>
      </c>
      <c r="J11" s="505">
        <f t="shared" si="1"/>
        <v>0</v>
      </c>
      <c r="K11" s="509">
        <f t="shared" si="2"/>
        <v>227778.62250000003</v>
      </c>
      <c r="L11" s="515">
        <f t="shared" si="3"/>
        <v>9.4072789908104717</v>
      </c>
      <c r="M11" s="505">
        <f t="shared" si="4"/>
        <v>0</v>
      </c>
      <c r="N11" s="527">
        <f t="shared" si="12"/>
        <v>3</v>
      </c>
      <c r="O11" s="511"/>
      <c r="P11" s="513"/>
      <c r="Q11" s="528">
        <v>4</v>
      </c>
      <c r="R11" s="505" t="str">
        <f t="shared" si="5"/>
        <v>1</v>
      </c>
      <c r="S11" s="505" t="str">
        <f t="shared" si="6"/>
        <v>1</v>
      </c>
      <c r="T11" s="505" t="str">
        <f t="shared" si="7"/>
        <v>1</v>
      </c>
      <c r="U11" s="505" t="str">
        <f t="shared" si="8"/>
        <v>0</v>
      </c>
      <c r="V11" s="505" t="str">
        <f t="shared" si="9"/>
        <v>0</v>
      </c>
      <c r="W11" s="505">
        <f t="shared" si="10"/>
        <v>0</v>
      </c>
      <c r="Y11" s="505">
        <f t="shared" si="11"/>
        <v>3</v>
      </c>
    </row>
    <row r="12" spans="1:25" s="505" customFormat="1" ht="35.1" customHeight="1" thickBot="1" x14ac:dyDescent="0.4">
      <c r="A12" s="505">
        <v>4</v>
      </c>
      <c r="B12" s="505">
        <v>4</v>
      </c>
      <c r="C12" s="506" t="s">
        <v>15</v>
      </c>
      <c r="D12" s="507">
        <v>1.34</v>
      </c>
      <c r="E12" s="518">
        <v>1.2</v>
      </c>
      <c r="F12" s="518">
        <v>0.92</v>
      </c>
      <c r="G12" s="505">
        <f t="shared" si="0"/>
        <v>1</v>
      </c>
      <c r="H12" s="71">
        <v>4546705.38</v>
      </c>
      <c r="I12" s="69">
        <v>-5267686.8099999996</v>
      </c>
      <c r="J12" s="505">
        <f t="shared" si="1"/>
        <v>1</v>
      </c>
      <c r="K12" s="509">
        <f t="shared" si="2"/>
        <v>-438973.90083333332</v>
      </c>
      <c r="L12" s="515">
        <f t="shared" si="3"/>
        <v>-10.357575635746651</v>
      </c>
      <c r="M12" s="505">
        <f t="shared" si="4"/>
        <v>0</v>
      </c>
      <c r="N12" s="519">
        <f t="shared" si="12"/>
        <v>2</v>
      </c>
      <c r="O12" s="511"/>
      <c r="P12" s="513"/>
      <c r="Q12" s="519">
        <v>2</v>
      </c>
      <c r="R12" s="505" t="str">
        <f t="shared" si="5"/>
        <v>1</v>
      </c>
      <c r="S12" s="505" t="str">
        <f t="shared" si="6"/>
        <v>0</v>
      </c>
      <c r="T12" s="505" t="str">
        <f t="shared" si="7"/>
        <v>0</v>
      </c>
      <c r="U12" s="505" t="str">
        <f t="shared" si="8"/>
        <v>0</v>
      </c>
      <c r="V12" s="505" t="str">
        <f t="shared" si="9"/>
        <v>1</v>
      </c>
      <c r="W12" s="505">
        <f t="shared" si="10"/>
        <v>0</v>
      </c>
      <c r="Y12" s="505">
        <f t="shared" si="11"/>
        <v>2</v>
      </c>
    </row>
    <row r="13" spans="1:25" s="505" customFormat="1" ht="35.1" customHeight="1" thickBot="1" x14ac:dyDescent="0.4">
      <c r="A13" s="505">
        <v>5</v>
      </c>
      <c r="B13" s="505">
        <v>5</v>
      </c>
      <c r="C13" s="506" t="s">
        <v>16</v>
      </c>
      <c r="D13" s="518">
        <v>2.3199999999999998</v>
      </c>
      <c r="E13" s="518">
        <v>1.98</v>
      </c>
      <c r="F13" s="518">
        <v>1.68</v>
      </c>
      <c r="G13" s="505">
        <f t="shared" si="0"/>
        <v>0</v>
      </c>
      <c r="H13" s="71">
        <v>12762215.07</v>
      </c>
      <c r="I13" s="69">
        <v>-4052681.96</v>
      </c>
      <c r="J13" s="505">
        <f t="shared" si="1"/>
        <v>1</v>
      </c>
      <c r="K13" s="509">
        <f t="shared" si="2"/>
        <v>-337723.49666666664</v>
      </c>
      <c r="L13" s="515">
        <f t="shared" si="3"/>
        <v>-37.788946271026909</v>
      </c>
      <c r="M13" s="505">
        <f t="shared" si="4"/>
        <v>0</v>
      </c>
      <c r="N13" s="522">
        <f t="shared" si="12"/>
        <v>1</v>
      </c>
      <c r="O13" s="511"/>
      <c r="P13" s="513"/>
      <c r="Q13" s="524">
        <v>1</v>
      </c>
      <c r="R13" s="505" t="str">
        <f t="shared" si="5"/>
        <v>0</v>
      </c>
      <c r="S13" s="505" t="str">
        <f t="shared" si="6"/>
        <v>0</v>
      </c>
      <c r="T13" s="505" t="str">
        <f t="shared" si="7"/>
        <v>0</v>
      </c>
      <c r="U13" s="505" t="str">
        <f t="shared" si="8"/>
        <v>0</v>
      </c>
      <c r="V13" s="505" t="str">
        <f t="shared" si="9"/>
        <v>1</v>
      </c>
      <c r="W13" s="505">
        <f t="shared" si="10"/>
        <v>0</v>
      </c>
      <c r="Y13" s="505">
        <f t="shared" si="11"/>
        <v>1</v>
      </c>
    </row>
    <row r="14" spans="1:25" s="505" customFormat="1" ht="35.1" customHeight="1" thickBot="1" x14ac:dyDescent="0.4">
      <c r="A14" s="505">
        <v>3</v>
      </c>
      <c r="B14" s="505">
        <v>3</v>
      </c>
      <c r="C14" s="506" t="s">
        <v>14</v>
      </c>
      <c r="D14" s="507">
        <v>1.17</v>
      </c>
      <c r="E14" s="518">
        <v>1.1100000000000001</v>
      </c>
      <c r="F14" s="518">
        <v>0.86</v>
      </c>
      <c r="G14" s="505">
        <f t="shared" si="0"/>
        <v>1</v>
      </c>
      <c r="H14" s="71">
        <v>3641669.01</v>
      </c>
      <c r="I14" s="71">
        <v>1421744.73</v>
      </c>
      <c r="J14" s="505">
        <f t="shared" si="1"/>
        <v>0</v>
      </c>
      <c r="K14" s="509">
        <f t="shared" si="2"/>
        <v>118478.72749999999</v>
      </c>
      <c r="L14" s="515">
        <f t="shared" si="3"/>
        <v>30.736901778422627</v>
      </c>
      <c r="M14" s="505">
        <f t="shared" si="4"/>
        <v>0</v>
      </c>
      <c r="N14" s="522">
        <f t="shared" si="12"/>
        <v>1</v>
      </c>
      <c r="O14" s="511"/>
      <c r="P14" s="513"/>
      <c r="Q14" s="524">
        <v>1</v>
      </c>
      <c r="R14" s="505" t="str">
        <f t="shared" si="5"/>
        <v>1</v>
      </c>
      <c r="S14" s="526" t="str">
        <f>IF(E14&lt;1,"1",IF(E14&gt;=1,"0"))</f>
        <v>0</v>
      </c>
      <c r="T14" s="505" t="str">
        <f t="shared" si="7"/>
        <v>0</v>
      </c>
      <c r="U14" s="505" t="str">
        <f t="shared" si="8"/>
        <v>0</v>
      </c>
      <c r="V14" s="505" t="str">
        <f t="shared" si="9"/>
        <v>0</v>
      </c>
      <c r="W14" s="505">
        <f t="shared" si="10"/>
        <v>0</v>
      </c>
      <c r="Y14" s="505">
        <f t="shared" si="11"/>
        <v>1</v>
      </c>
    </row>
    <row r="15" spans="1:25" s="505" customFormat="1" ht="35.1" customHeight="1" thickBot="1" x14ac:dyDescent="0.4">
      <c r="A15" s="505">
        <v>9</v>
      </c>
      <c r="B15" s="505">
        <v>9</v>
      </c>
      <c r="C15" s="516" t="s">
        <v>20</v>
      </c>
      <c r="D15" s="507">
        <v>1.17</v>
      </c>
      <c r="E15" s="518">
        <v>1.05</v>
      </c>
      <c r="F15" s="518">
        <v>0.91</v>
      </c>
      <c r="G15" s="505">
        <f t="shared" si="0"/>
        <v>1</v>
      </c>
      <c r="H15" s="71">
        <v>2752115.99</v>
      </c>
      <c r="I15" s="71">
        <v>16932594.82</v>
      </c>
      <c r="J15" s="505">
        <f t="shared" si="1"/>
        <v>0</v>
      </c>
      <c r="K15" s="509">
        <f t="shared" si="2"/>
        <v>1411049.5683333334</v>
      </c>
      <c r="L15" s="515">
        <f t="shared" si="3"/>
        <v>1.9504034810418975</v>
      </c>
      <c r="M15" s="505">
        <f t="shared" si="4"/>
        <v>0</v>
      </c>
      <c r="N15" s="522">
        <f t="shared" si="12"/>
        <v>1</v>
      </c>
      <c r="O15" s="511"/>
      <c r="P15" s="513"/>
      <c r="Q15" s="524">
        <v>1</v>
      </c>
      <c r="R15" s="505" t="str">
        <f t="shared" si="5"/>
        <v>1</v>
      </c>
      <c r="S15" s="505" t="str">
        <f t="shared" ref="S15:S20" si="13">IF(E15&lt;=1,"1",IF(E15&gt;1,"0"))</f>
        <v>0</v>
      </c>
      <c r="T15" s="505" t="str">
        <f t="shared" si="7"/>
        <v>0</v>
      </c>
      <c r="U15" s="505" t="str">
        <f t="shared" si="8"/>
        <v>0</v>
      </c>
      <c r="V15" s="505" t="str">
        <f t="shared" si="9"/>
        <v>0</v>
      </c>
      <c r="W15" s="505">
        <f t="shared" si="10"/>
        <v>0</v>
      </c>
      <c r="Y15" s="505">
        <f t="shared" si="11"/>
        <v>1</v>
      </c>
    </row>
    <row r="16" spans="1:25" s="505" customFormat="1" ht="35.1" customHeight="1" thickBot="1" x14ac:dyDescent="0.4">
      <c r="A16" s="505">
        <v>15</v>
      </c>
      <c r="B16" s="505">
        <v>15</v>
      </c>
      <c r="C16" s="516" t="s">
        <v>26</v>
      </c>
      <c r="D16" s="507">
        <v>1.31</v>
      </c>
      <c r="E16" s="518">
        <v>1.1599999999999999</v>
      </c>
      <c r="F16" s="518">
        <v>0.99</v>
      </c>
      <c r="G16" s="505">
        <f t="shared" si="0"/>
        <v>1</v>
      </c>
      <c r="H16" s="71">
        <v>3602351.55</v>
      </c>
      <c r="I16" s="71">
        <v>6056908.5300000003</v>
      </c>
      <c r="J16" s="505">
        <f t="shared" si="1"/>
        <v>0</v>
      </c>
      <c r="K16" s="509">
        <f t="shared" si="2"/>
        <v>504742.3775</v>
      </c>
      <c r="L16" s="515">
        <f t="shared" si="3"/>
        <v>7.1370103058168519</v>
      </c>
      <c r="M16" s="505">
        <f t="shared" si="4"/>
        <v>0</v>
      </c>
      <c r="N16" s="524">
        <f t="shared" si="12"/>
        <v>1</v>
      </c>
      <c r="O16" s="511"/>
      <c r="P16" s="513"/>
      <c r="Q16" s="528">
        <v>4</v>
      </c>
      <c r="R16" s="505" t="str">
        <f t="shared" si="5"/>
        <v>1</v>
      </c>
      <c r="S16" s="505" t="str">
        <f t="shared" si="13"/>
        <v>0</v>
      </c>
      <c r="T16" s="505" t="str">
        <f t="shared" si="7"/>
        <v>0</v>
      </c>
      <c r="U16" s="505" t="str">
        <f t="shared" si="8"/>
        <v>0</v>
      </c>
      <c r="V16" s="505" t="str">
        <f t="shared" si="9"/>
        <v>0</v>
      </c>
      <c r="W16" s="505">
        <f t="shared" si="10"/>
        <v>0</v>
      </c>
      <c r="Y16" s="505">
        <f t="shared" si="11"/>
        <v>1</v>
      </c>
    </row>
    <row r="17" spans="1:25" s="505" customFormat="1" ht="35.1" customHeight="1" thickBot="1" x14ac:dyDescent="0.4">
      <c r="A17" s="505">
        <v>6</v>
      </c>
      <c r="B17" s="505">
        <v>6</v>
      </c>
      <c r="C17" s="516" t="s">
        <v>17</v>
      </c>
      <c r="D17" s="518">
        <v>1.28</v>
      </c>
      <c r="E17" s="518">
        <v>1.1599999999999999</v>
      </c>
      <c r="F17" s="518">
        <v>1.02</v>
      </c>
      <c r="G17" s="505">
        <f t="shared" si="0"/>
        <v>1</v>
      </c>
      <c r="H17" s="71">
        <v>4226493.41</v>
      </c>
      <c r="I17" s="71">
        <v>2411541.8199999998</v>
      </c>
      <c r="J17" s="505">
        <f t="shared" si="1"/>
        <v>0</v>
      </c>
      <c r="K17" s="509">
        <f t="shared" si="2"/>
        <v>200961.81833333333</v>
      </c>
      <c r="L17" s="515">
        <f t="shared" si="3"/>
        <v>21.031325477905252</v>
      </c>
      <c r="M17" s="505">
        <f t="shared" si="4"/>
        <v>0</v>
      </c>
      <c r="N17" s="520">
        <f t="shared" si="12"/>
        <v>1</v>
      </c>
      <c r="O17" s="511"/>
      <c r="P17" s="513"/>
      <c r="Q17" s="520">
        <v>2</v>
      </c>
      <c r="R17" s="505" t="str">
        <f t="shared" si="5"/>
        <v>1</v>
      </c>
      <c r="S17" s="505" t="str">
        <f t="shared" si="13"/>
        <v>0</v>
      </c>
      <c r="T17" s="505" t="str">
        <f t="shared" si="7"/>
        <v>0</v>
      </c>
      <c r="U17" s="505" t="str">
        <f t="shared" si="8"/>
        <v>0</v>
      </c>
      <c r="V17" s="505" t="str">
        <f t="shared" si="9"/>
        <v>0</v>
      </c>
      <c r="W17" s="505">
        <f t="shared" si="10"/>
        <v>0</v>
      </c>
      <c r="Y17" s="505">
        <f t="shared" si="11"/>
        <v>1</v>
      </c>
    </row>
    <row r="18" spans="1:25" s="505" customFormat="1" ht="35.1" customHeight="1" thickBot="1" x14ac:dyDescent="0.4">
      <c r="A18" s="505">
        <v>1</v>
      </c>
      <c r="B18" s="505">
        <v>1</v>
      </c>
      <c r="C18" s="506" t="s">
        <v>12</v>
      </c>
      <c r="D18" s="518">
        <v>3.61</v>
      </c>
      <c r="E18" s="518">
        <v>3.48</v>
      </c>
      <c r="F18" s="518">
        <v>2.17</v>
      </c>
      <c r="G18" s="505">
        <f t="shared" si="0"/>
        <v>0</v>
      </c>
      <c r="H18" s="71">
        <v>207984916.11000001</v>
      </c>
      <c r="I18" s="71">
        <v>41234699.060000002</v>
      </c>
      <c r="J18" s="505">
        <f t="shared" si="1"/>
        <v>0</v>
      </c>
      <c r="K18" s="509">
        <f t="shared" si="2"/>
        <v>3436224.9216666669</v>
      </c>
      <c r="L18" s="515">
        <f t="shared" si="3"/>
        <v>60.527154319433031</v>
      </c>
      <c r="M18" s="505">
        <f t="shared" si="4"/>
        <v>0</v>
      </c>
      <c r="N18" s="529">
        <f t="shared" si="12"/>
        <v>0</v>
      </c>
      <c r="O18" s="514"/>
      <c r="P18" s="521"/>
      <c r="Q18" s="529">
        <v>0</v>
      </c>
      <c r="R18" s="505" t="str">
        <f t="shared" si="5"/>
        <v>0</v>
      </c>
      <c r="S18" s="505" t="str">
        <f t="shared" si="13"/>
        <v>0</v>
      </c>
      <c r="T18" s="505" t="str">
        <f t="shared" si="7"/>
        <v>0</v>
      </c>
      <c r="U18" s="505" t="str">
        <f t="shared" si="8"/>
        <v>0</v>
      </c>
      <c r="V18" s="505" t="str">
        <f t="shared" si="9"/>
        <v>0</v>
      </c>
      <c r="W18" s="505">
        <f t="shared" si="10"/>
        <v>0</v>
      </c>
      <c r="Y18" s="505">
        <f t="shared" si="11"/>
        <v>0</v>
      </c>
    </row>
    <row r="19" spans="1:25" s="505" customFormat="1" ht="35.1" customHeight="1" thickBot="1" x14ac:dyDescent="0.4">
      <c r="A19" s="505">
        <v>7</v>
      </c>
      <c r="B19" s="505">
        <v>7</v>
      </c>
      <c r="C19" s="516" t="s">
        <v>18</v>
      </c>
      <c r="D19" s="518">
        <v>2.31</v>
      </c>
      <c r="E19" s="518">
        <v>2.12</v>
      </c>
      <c r="F19" s="518">
        <v>1.6</v>
      </c>
      <c r="G19" s="505">
        <f t="shared" si="0"/>
        <v>0</v>
      </c>
      <c r="H19" s="71">
        <v>36473473.789999999</v>
      </c>
      <c r="I19" s="71">
        <v>14886243.449999999</v>
      </c>
      <c r="J19" s="505">
        <f t="shared" si="1"/>
        <v>0</v>
      </c>
      <c r="K19" s="509">
        <f t="shared" si="2"/>
        <v>1240520.2874999999</v>
      </c>
      <c r="L19" s="515">
        <f t="shared" si="3"/>
        <v>29.401755180888166</v>
      </c>
      <c r="M19" s="505">
        <f t="shared" si="4"/>
        <v>0</v>
      </c>
      <c r="N19" s="529">
        <f t="shared" si="12"/>
        <v>0</v>
      </c>
      <c r="O19" s="514"/>
      <c r="P19" s="521"/>
      <c r="Q19" s="529">
        <v>0</v>
      </c>
      <c r="R19" s="505" t="str">
        <f t="shared" si="5"/>
        <v>0</v>
      </c>
      <c r="S19" s="505" t="str">
        <f t="shared" si="13"/>
        <v>0</v>
      </c>
      <c r="T19" s="505" t="str">
        <f t="shared" si="7"/>
        <v>0</v>
      </c>
      <c r="U19" s="505" t="str">
        <f t="shared" si="8"/>
        <v>0</v>
      </c>
      <c r="V19" s="505" t="str">
        <f t="shared" si="9"/>
        <v>0</v>
      </c>
      <c r="W19" s="505">
        <f t="shared" si="10"/>
        <v>0</v>
      </c>
      <c r="Y19" s="505">
        <f t="shared" si="11"/>
        <v>0</v>
      </c>
    </row>
    <row r="20" spans="1:25" s="505" customFormat="1" ht="35.1" customHeight="1" thickBot="1" x14ac:dyDescent="0.4">
      <c r="A20" s="505">
        <v>12</v>
      </c>
      <c r="B20" s="505">
        <v>12</v>
      </c>
      <c r="C20" s="516" t="s">
        <v>23</v>
      </c>
      <c r="D20" s="518">
        <v>1.56</v>
      </c>
      <c r="E20" s="518">
        <v>1.36</v>
      </c>
      <c r="F20" s="518">
        <v>1.18</v>
      </c>
      <c r="G20" s="505">
        <f t="shared" si="0"/>
        <v>0</v>
      </c>
      <c r="H20" s="71">
        <v>24663331.829999998</v>
      </c>
      <c r="I20" s="71">
        <v>4065439.41</v>
      </c>
      <c r="J20" s="505">
        <f t="shared" si="1"/>
        <v>0</v>
      </c>
      <c r="K20" s="509">
        <f t="shared" si="2"/>
        <v>338786.61749999999</v>
      </c>
      <c r="L20" s="515">
        <f t="shared" si="3"/>
        <v>72.799014353038899</v>
      </c>
      <c r="M20" s="505">
        <f t="shared" si="4"/>
        <v>0</v>
      </c>
      <c r="N20" s="522">
        <f t="shared" si="12"/>
        <v>0</v>
      </c>
      <c r="O20" s="511"/>
      <c r="P20" s="521"/>
      <c r="Q20" s="524">
        <v>1</v>
      </c>
      <c r="R20" s="505" t="str">
        <f t="shared" si="5"/>
        <v>0</v>
      </c>
      <c r="S20" s="505" t="str">
        <f t="shared" si="13"/>
        <v>0</v>
      </c>
      <c r="T20" s="505" t="str">
        <f t="shared" si="7"/>
        <v>0</v>
      </c>
      <c r="U20" s="505" t="str">
        <f t="shared" si="8"/>
        <v>0</v>
      </c>
      <c r="V20" s="505" t="str">
        <f t="shared" si="9"/>
        <v>0</v>
      </c>
      <c r="W20" s="505">
        <f t="shared" si="10"/>
        <v>0</v>
      </c>
      <c r="Y20" s="505">
        <f t="shared" si="11"/>
        <v>0</v>
      </c>
    </row>
    <row r="21" spans="1:25" ht="9" customHeight="1" x14ac:dyDescent="0.25">
      <c r="H21" s="530"/>
      <c r="I21" s="530"/>
      <c r="L21" s="531"/>
      <c r="M21" s="531"/>
      <c r="N21" s="531"/>
    </row>
    <row r="22" spans="1:25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5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60" t="s">
        <v>31</v>
      </c>
      <c r="M23" s="760"/>
      <c r="N23" s="760"/>
    </row>
    <row r="24" spans="1:25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60"/>
      <c r="M24" s="760"/>
      <c r="N24" s="760"/>
    </row>
    <row r="25" spans="1:25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60" t="s">
        <v>31</v>
      </c>
      <c r="M25" s="760"/>
      <c r="N25" s="760"/>
    </row>
    <row r="26" spans="1:25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60"/>
      <c r="M26" s="760"/>
      <c r="N26" s="760"/>
    </row>
    <row r="27" spans="1:25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61" t="s">
        <v>31</v>
      </c>
      <c r="L27" s="761"/>
      <c r="M27" s="621"/>
      <c r="N27" s="621"/>
    </row>
    <row r="28" spans="1:25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5" ht="11.25" customHeight="1" x14ac:dyDescent="0.25">
      <c r="I29" s="534"/>
      <c r="J29" s="534"/>
      <c r="K29" s="549"/>
      <c r="L29" s="550"/>
      <c r="M29" s="550"/>
      <c r="N29" s="550"/>
    </row>
    <row r="30" spans="1:25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60" t="s">
        <v>31</v>
      </c>
      <c r="M30" s="760"/>
      <c r="N30" s="760"/>
    </row>
    <row r="31" spans="1:25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60"/>
      <c r="M31" s="760"/>
      <c r="N31" s="760"/>
    </row>
    <row r="32" spans="1:25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sortState ref="A5:Y20">
    <sortCondition descending="1" ref="N5:N20"/>
  </sortState>
  <mergeCells count="22">
    <mergeCell ref="L23:N24"/>
    <mergeCell ref="L25:N26"/>
    <mergeCell ref="K27:L27"/>
    <mergeCell ref="L30:N31"/>
    <mergeCell ref="P2:P4"/>
    <mergeCell ref="O3:O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</mergeCells>
  <conditionalFormatting sqref="N5:N2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3"/>
  <sheetViews>
    <sheetView topLeftCell="B1" zoomScale="60" zoomScaleNormal="6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13" sqref="G13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16384" width="9" style="499"/>
  </cols>
  <sheetData>
    <row r="1" spans="1:25" ht="41.25" customHeight="1" thickBot="1" x14ac:dyDescent="0.3">
      <c r="C1" s="733" t="s">
        <v>57</v>
      </c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500"/>
      <c r="P1" s="500"/>
    </row>
    <row r="2" spans="1:25" ht="60.75" customHeight="1" thickBot="1" x14ac:dyDescent="0.3">
      <c r="C2" s="727" t="s">
        <v>1</v>
      </c>
      <c r="D2" s="734" t="s">
        <v>161</v>
      </c>
      <c r="E2" s="734"/>
      <c r="F2" s="734"/>
      <c r="G2" s="734"/>
      <c r="H2" s="735" t="s">
        <v>162</v>
      </c>
      <c r="I2" s="735"/>
      <c r="J2" s="735"/>
      <c r="K2" s="736" t="s">
        <v>163</v>
      </c>
      <c r="L2" s="736"/>
      <c r="M2" s="736"/>
      <c r="N2" s="737" t="s">
        <v>274</v>
      </c>
      <c r="O2" s="501"/>
      <c r="P2" s="762" t="s">
        <v>165</v>
      </c>
      <c r="R2" s="502"/>
    </row>
    <row r="3" spans="1:25" ht="63" customHeight="1" thickBot="1" x14ac:dyDescent="0.3">
      <c r="C3" s="727"/>
      <c r="D3" s="740" t="s">
        <v>2</v>
      </c>
      <c r="E3" s="740" t="s">
        <v>3</v>
      </c>
      <c r="F3" s="740" t="s">
        <v>4</v>
      </c>
      <c r="G3" s="741" t="s">
        <v>166</v>
      </c>
      <c r="H3" s="742" t="s">
        <v>167</v>
      </c>
      <c r="I3" s="727" t="s">
        <v>168</v>
      </c>
      <c r="J3" s="730" t="s">
        <v>166</v>
      </c>
      <c r="K3" s="732" t="s">
        <v>169</v>
      </c>
      <c r="L3" s="727" t="s">
        <v>170</v>
      </c>
      <c r="M3" s="738" t="s">
        <v>166</v>
      </c>
      <c r="N3" s="737"/>
      <c r="O3" s="763" t="s">
        <v>80</v>
      </c>
      <c r="P3" s="762"/>
      <c r="R3" s="502"/>
    </row>
    <row r="4" spans="1:25" ht="86.25" customHeight="1" thickBot="1" x14ac:dyDescent="0.3">
      <c r="C4" s="727"/>
      <c r="D4" s="740"/>
      <c r="E4" s="740"/>
      <c r="F4" s="740"/>
      <c r="G4" s="741"/>
      <c r="H4" s="742"/>
      <c r="I4" s="727"/>
      <c r="J4" s="731"/>
      <c r="K4" s="732"/>
      <c r="L4" s="727"/>
      <c r="M4" s="739"/>
      <c r="N4" s="737"/>
      <c r="O4" s="763"/>
      <c r="P4" s="762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</row>
    <row r="5" spans="1:25" s="505" customFormat="1" ht="35.1" customHeight="1" thickBot="1" x14ac:dyDescent="0.4">
      <c r="A5" s="505">
        <v>13</v>
      </c>
      <c r="B5" s="505">
        <v>1</v>
      </c>
      <c r="C5" s="506" t="s">
        <v>12</v>
      </c>
      <c r="D5" s="518">
        <v>3.98</v>
      </c>
      <c r="E5" s="518">
        <v>3.84</v>
      </c>
      <c r="F5" s="518">
        <v>2.29</v>
      </c>
      <c r="G5" s="505">
        <f t="shared" ref="G5:G20" si="0">(IF(D5&lt;1.5,1,0))+(IF(E5&lt;1,1,0))+(IF(F5&lt;0.8,1,0))</f>
        <v>0</v>
      </c>
      <c r="H5" s="71">
        <v>855910142.49000001</v>
      </c>
      <c r="I5" s="71">
        <v>93831247.980000004</v>
      </c>
      <c r="J5" s="505">
        <f t="shared" ref="J5:J20" si="1">IF(I5&lt;0,1,0)+IF(H5&lt;0,1,0)</f>
        <v>0</v>
      </c>
      <c r="K5" s="509">
        <f t="shared" ref="K5:K20" si="2">SUM(I5/12)</f>
        <v>7819270.665</v>
      </c>
      <c r="L5" s="515">
        <f t="shared" ref="L5:L20" si="3">H5/K5</f>
        <v>109.46163384791848</v>
      </c>
      <c r="M5" s="505">
        <f t="shared" ref="M5:M20" si="4">IF(I5&lt;0,IF((H5/-(I5/12))&lt;3,2,IF((H5/(-I5/12))&lt;6,1,0)),0)</f>
        <v>0</v>
      </c>
      <c r="N5" s="514">
        <f>+Y5</f>
        <v>0</v>
      </c>
      <c r="O5" s="514"/>
      <c r="P5" s="521"/>
      <c r="Q5" s="514">
        <v>0</v>
      </c>
      <c r="R5" s="505" t="str">
        <f t="shared" ref="R5:R20" si="5">IF(D5&lt;1.5,"1",IF(D5&gt;=1.5,"0"))</f>
        <v>0</v>
      </c>
      <c r="S5" s="505" t="str">
        <f>IF(E5&lt;=1,"1",IF(E5&gt;1,"0"))</f>
        <v>0</v>
      </c>
      <c r="T5" s="505" t="str">
        <f t="shared" ref="T5:T20" si="6">IF(F5&lt;0.8,"1",IF(F5&gt;=0.8,"0"))</f>
        <v>0</v>
      </c>
      <c r="U5" s="505" t="str">
        <f t="shared" ref="U5:U20" si="7">IF(H5&lt;0,"1",IF(H5&gt;=0,"0"))</f>
        <v>0</v>
      </c>
      <c r="V5" s="505" t="str">
        <f t="shared" ref="V5:V20" si="8">IF(I5&lt;0,"1",IF(I5&gt;=0,"0"))</f>
        <v>0</v>
      </c>
      <c r="W5" s="505">
        <f t="shared" ref="W5:W20" si="9">IF(I5&lt;0,IF((H5/-(I5/12))&lt;3,2,IF((H5/(-I5/12))&lt;6,1,0)),0)</f>
        <v>0</v>
      </c>
      <c r="Y5" s="505">
        <f t="shared" ref="Y5:Y20" si="10">+R5+S5+T5+U5+V5+W5</f>
        <v>0</v>
      </c>
    </row>
    <row r="6" spans="1:25" s="505" customFormat="1" ht="35.1" customHeight="1" thickBot="1" x14ac:dyDescent="0.4">
      <c r="A6" s="505">
        <v>2</v>
      </c>
      <c r="B6" s="505">
        <v>2</v>
      </c>
      <c r="C6" s="506" t="s">
        <v>13</v>
      </c>
      <c r="D6" s="507">
        <v>1.29</v>
      </c>
      <c r="E6" s="507">
        <v>1.1200000000000001</v>
      </c>
      <c r="F6" s="507">
        <v>0.71</v>
      </c>
      <c r="G6" s="505">
        <f t="shared" si="0"/>
        <v>2</v>
      </c>
      <c r="H6" s="71">
        <v>27559391.989999998</v>
      </c>
      <c r="I6" s="69">
        <v>31949422.59</v>
      </c>
      <c r="J6" s="505">
        <f t="shared" si="1"/>
        <v>0</v>
      </c>
      <c r="K6" s="509">
        <f t="shared" si="2"/>
        <v>2662451.8824999998</v>
      </c>
      <c r="L6" s="515">
        <f t="shared" si="3"/>
        <v>10.35113241713205</v>
      </c>
      <c r="M6" s="505">
        <f t="shared" si="4"/>
        <v>0</v>
      </c>
      <c r="N6" s="512">
        <f>+G6+J6+M6</f>
        <v>2</v>
      </c>
      <c r="O6" s="511"/>
      <c r="P6" s="513"/>
      <c r="Q6" s="514">
        <v>0</v>
      </c>
      <c r="R6" s="505" t="str">
        <f t="shared" si="5"/>
        <v>1</v>
      </c>
      <c r="S6" s="505" t="str">
        <f>IF(E6&lt;=1,"1",IF(E6&gt;1,"0"))</f>
        <v>0</v>
      </c>
      <c r="T6" s="505" t="str">
        <f t="shared" si="6"/>
        <v>1</v>
      </c>
      <c r="U6" s="505" t="str">
        <f t="shared" si="7"/>
        <v>0</v>
      </c>
      <c r="V6" s="505" t="str">
        <f t="shared" si="8"/>
        <v>0</v>
      </c>
      <c r="W6" s="505">
        <f t="shared" si="9"/>
        <v>0</v>
      </c>
      <c r="Y6" s="505">
        <f t="shared" si="10"/>
        <v>2</v>
      </c>
    </row>
    <row r="7" spans="1:25" s="505" customFormat="1" ht="35.1" customHeight="1" thickBot="1" x14ac:dyDescent="0.4">
      <c r="A7" s="505">
        <v>8</v>
      </c>
      <c r="B7" s="505">
        <v>3</v>
      </c>
      <c r="C7" s="506" t="s">
        <v>14</v>
      </c>
      <c r="D7" s="507">
        <v>1.54</v>
      </c>
      <c r="E7" s="518">
        <v>1.37</v>
      </c>
      <c r="F7" s="518">
        <v>1.1399999999999999</v>
      </c>
      <c r="G7" s="505">
        <f t="shared" si="0"/>
        <v>0</v>
      </c>
      <c r="H7" s="71">
        <v>14372420.880000001</v>
      </c>
      <c r="I7" s="71">
        <v>6742843.9699999997</v>
      </c>
      <c r="J7" s="505">
        <f t="shared" si="1"/>
        <v>0</v>
      </c>
      <c r="K7" s="509">
        <f t="shared" si="2"/>
        <v>561903.66416666668</v>
      </c>
      <c r="L7" s="515">
        <f t="shared" si="3"/>
        <v>25.578087128716401</v>
      </c>
      <c r="M7" s="505">
        <f t="shared" si="4"/>
        <v>0</v>
      </c>
      <c r="N7" s="522">
        <f t="shared" ref="N7:N20" si="11">+Y7</f>
        <v>0</v>
      </c>
      <c r="O7" s="511"/>
      <c r="P7" s="513"/>
      <c r="Q7" s="522">
        <v>1</v>
      </c>
      <c r="R7" s="505" t="str">
        <f t="shared" si="5"/>
        <v>0</v>
      </c>
      <c r="S7" s="526" t="str">
        <f>IF(E7&lt;1,"1",IF(E7&gt;=1,"0"))</f>
        <v>0</v>
      </c>
      <c r="T7" s="505" t="str">
        <f t="shared" si="6"/>
        <v>0</v>
      </c>
      <c r="U7" s="505" t="str">
        <f t="shared" si="7"/>
        <v>0</v>
      </c>
      <c r="V7" s="505" t="str">
        <f t="shared" si="8"/>
        <v>0</v>
      </c>
      <c r="W7" s="505">
        <f t="shared" si="9"/>
        <v>0</v>
      </c>
      <c r="Y7" s="505">
        <f t="shared" si="10"/>
        <v>0</v>
      </c>
    </row>
    <row r="8" spans="1:25" s="505" customFormat="1" ht="35.1" customHeight="1" thickBot="1" x14ac:dyDescent="0.4">
      <c r="A8" s="505">
        <v>16</v>
      </c>
      <c r="B8" s="505">
        <v>4</v>
      </c>
      <c r="C8" s="506" t="s">
        <v>15</v>
      </c>
      <c r="D8" s="507">
        <v>1.7</v>
      </c>
      <c r="E8" s="518">
        <v>1.59</v>
      </c>
      <c r="F8" s="518">
        <v>1.26</v>
      </c>
      <c r="G8" s="505">
        <f t="shared" si="0"/>
        <v>0</v>
      </c>
      <c r="H8" s="71">
        <v>11975564.82</v>
      </c>
      <c r="I8" s="69">
        <v>5933335.1600000001</v>
      </c>
      <c r="J8" s="505">
        <f t="shared" si="1"/>
        <v>0</v>
      </c>
      <c r="K8" s="509">
        <f t="shared" si="2"/>
        <v>494444.59666666668</v>
      </c>
      <c r="L8" s="515">
        <f t="shared" si="3"/>
        <v>24.220235999612736</v>
      </c>
      <c r="M8" s="505">
        <f t="shared" si="4"/>
        <v>0</v>
      </c>
      <c r="N8" s="519">
        <f t="shared" si="11"/>
        <v>0</v>
      </c>
      <c r="O8" s="511"/>
      <c r="P8" s="513"/>
      <c r="Q8" s="520">
        <v>2</v>
      </c>
      <c r="R8" s="505" t="str">
        <f t="shared" si="5"/>
        <v>0</v>
      </c>
      <c r="S8" s="505" t="str">
        <f t="shared" ref="S8:S20" si="12">IF(E8&lt;=1,"1",IF(E8&gt;1,"0"))</f>
        <v>0</v>
      </c>
      <c r="T8" s="505" t="str">
        <f t="shared" si="6"/>
        <v>0</v>
      </c>
      <c r="U8" s="505" t="str">
        <f t="shared" si="7"/>
        <v>0</v>
      </c>
      <c r="V8" s="505" t="str">
        <f t="shared" si="8"/>
        <v>0</v>
      </c>
      <c r="W8" s="505">
        <f t="shared" si="9"/>
        <v>0</v>
      </c>
      <c r="Y8" s="505">
        <f t="shared" si="10"/>
        <v>0</v>
      </c>
    </row>
    <row r="9" spans="1:25" s="505" customFormat="1" ht="35.1" customHeight="1" thickBot="1" x14ac:dyDescent="0.4">
      <c r="A9" s="505">
        <v>14</v>
      </c>
      <c r="B9" s="505">
        <v>5</v>
      </c>
      <c r="C9" s="506" t="s">
        <v>16</v>
      </c>
      <c r="D9" s="518">
        <v>2.54</v>
      </c>
      <c r="E9" s="518">
        <v>2.2400000000000002</v>
      </c>
      <c r="F9" s="518">
        <v>1.91</v>
      </c>
      <c r="G9" s="505">
        <f t="shared" si="0"/>
        <v>0</v>
      </c>
      <c r="H9" s="71">
        <v>20585663.670000002</v>
      </c>
      <c r="I9" s="69">
        <v>6013159.29</v>
      </c>
      <c r="J9" s="505">
        <f t="shared" si="1"/>
        <v>0</v>
      </c>
      <c r="K9" s="509">
        <f t="shared" si="2"/>
        <v>501096.60749999998</v>
      </c>
      <c r="L9" s="515">
        <f t="shared" si="3"/>
        <v>41.081227375900767</v>
      </c>
      <c r="M9" s="505">
        <f t="shared" si="4"/>
        <v>0</v>
      </c>
      <c r="N9" s="522">
        <f t="shared" si="11"/>
        <v>0</v>
      </c>
      <c r="O9" s="511"/>
      <c r="P9" s="513"/>
      <c r="Q9" s="522">
        <v>1</v>
      </c>
      <c r="R9" s="505" t="str">
        <f t="shared" si="5"/>
        <v>0</v>
      </c>
      <c r="S9" s="505" t="str">
        <f t="shared" si="12"/>
        <v>0</v>
      </c>
      <c r="T9" s="505" t="str">
        <f t="shared" si="6"/>
        <v>0</v>
      </c>
      <c r="U9" s="505" t="str">
        <f t="shared" si="7"/>
        <v>0</v>
      </c>
      <c r="V9" s="505" t="str">
        <f t="shared" si="8"/>
        <v>0</v>
      </c>
      <c r="W9" s="505">
        <f t="shared" si="9"/>
        <v>0</v>
      </c>
      <c r="Y9" s="505">
        <f t="shared" si="10"/>
        <v>0</v>
      </c>
    </row>
    <row r="10" spans="1:25" s="505" customFormat="1" ht="35.1" customHeight="1" thickBot="1" x14ac:dyDescent="0.4">
      <c r="A10" s="505">
        <v>10</v>
      </c>
      <c r="B10" s="505">
        <v>6</v>
      </c>
      <c r="C10" s="516" t="s">
        <v>17</v>
      </c>
      <c r="D10" s="518">
        <v>1.54</v>
      </c>
      <c r="E10" s="518">
        <v>1.42</v>
      </c>
      <c r="F10" s="518">
        <v>1.27</v>
      </c>
      <c r="G10" s="505">
        <f t="shared" si="0"/>
        <v>0</v>
      </c>
      <c r="H10" s="71">
        <v>9664680.7400000002</v>
      </c>
      <c r="I10" s="71">
        <v>3924932.96</v>
      </c>
      <c r="J10" s="505">
        <f t="shared" si="1"/>
        <v>0</v>
      </c>
      <c r="K10" s="509">
        <f t="shared" si="2"/>
        <v>327077.74666666664</v>
      </c>
      <c r="L10" s="515">
        <f t="shared" si="3"/>
        <v>29.548573201617184</v>
      </c>
      <c r="M10" s="505">
        <f t="shared" si="4"/>
        <v>0</v>
      </c>
      <c r="N10" s="519">
        <f t="shared" si="11"/>
        <v>0</v>
      </c>
      <c r="O10" s="511"/>
      <c r="P10" s="513"/>
      <c r="Q10" s="520">
        <v>2</v>
      </c>
      <c r="R10" s="505" t="str">
        <f t="shared" si="5"/>
        <v>0</v>
      </c>
      <c r="S10" s="505" t="str">
        <f t="shared" si="12"/>
        <v>0</v>
      </c>
      <c r="T10" s="505" t="str">
        <f t="shared" si="6"/>
        <v>0</v>
      </c>
      <c r="U10" s="505" t="str">
        <f t="shared" si="7"/>
        <v>0</v>
      </c>
      <c r="V10" s="505" t="str">
        <f t="shared" si="8"/>
        <v>0</v>
      </c>
      <c r="W10" s="505">
        <f t="shared" si="9"/>
        <v>0</v>
      </c>
      <c r="Y10" s="505">
        <f t="shared" si="10"/>
        <v>0</v>
      </c>
    </row>
    <row r="11" spans="1:25" s="505" customFormat="1" ht="35.1" customHeight="1" thickBot="1" x14ac:dyDescent="0.4">
      <c r="A11" s="505">
        <v>11</v>
      </c>
      <c r="B11" s="505">
        <v>7</v>
      </c>
      <c r="C11" s="516" t="s">
        <v>18</v>
      </c>
      <c r="D11" s="518">
        <v>2.59</v>
      </c>
      <c r="E11" s="518">
        <v>2.4300000000000002</v>
      </c>
      <c r="F11" s="518">
        <v>1.86</v>
      </c>
      <c r="G11" s="505">
        <f t="shared" si="0"/>
        <v>0</v>
      </c>
      <c r="H11" s="71">
        <v>49075005.409999996</v>
      </c>
      <c r="I11" s="71">
        <v>11502419.49</v>
      </c>
      <c r="J11" s="505">
        <f t="shared" si="1"/>
        <v>0</v>
      </c>
      <c r="K11" s="509">
        <f t="shared" si="2"/>
        <v>958534.95750000002</v>
      </c>
      <c r="L11" s="515">
        <f t="shared" si="3"/>
        <v>51.197929742692764</v>
      </c>
      <c r="M11" s="505">
        <f t="shared" si="4"/>
        <v>0</v>
      </c>
      <c r="N11" s="514">
        <f t="shared" si="11"/>
        <v>0</v>
      </c>
      <c r="O11" s="514"/>
      <c r="P11" s="521"/>
      <c r="Q11" s="529">
        <v>0</v>
      </c>
      <c r="R11" s="505" t="str">
        <f t="shared" si="5"/>
        <v>0</v>
      </c>
      <c r="S11" s="505" t="str">
        <f t="shared" si="12"/>
        <v>0</v>
      </c>
      <c r="T11" s="505" t="str">
        <f t="shared" si="6"/>
        <v>0</v>
      </c>
      <c r="U11" s="505" t="str">
        <f t="shared" si="7"/>
        <v>0</v>
      </c>
      <c r="V11" s="505" t="str">
        <f t="shared" si="8"/>
        <v>0</v>
      </c>
      <c r="W11" s="505">
        <f t="shared" si="9"/>
        <v>0</v>
      </c>
      <c r="Y11" s="505">
        <f t="shared" si="10"/>
        <v>0</v>
      </c>
    </row>
    <row r="12" spans="1:25" s="505" customFormat="1" ht="35.1" customHeight="1" thickBot="1" x14ac:dyDescent="0.4">
      <c r="A12" s="505">
        <v>4</v>
      </c>
      <c r="B12" s="505">
        <v>8</v>
      </c>
      <c r="C12" s="516" t="s">
        <v>19</v>
      </c>
      <c r="D12" s="507">
        <v>1.37</v>
      </c>
      <c r="E12" s="507">
        <v>1.23</v>
      </c>
      <c r="F12" s="507">
        <v>1</v>
      </c>
      <c r="G12" s="505">
        <f t="shared" si="0"/>
        <v>1</v>
      </c>
      <c r="H12" s="69">
        <v>8216480.8499999996</v>
      </c>
      <c r="I12" s="71">
        <v>4703272.91</v>
      </c>
      <c r="J12" s="505">
        <f t="shared" si="1"/>
        <v>0</v>
      </c>
      <c r="K12" s="509">
        <f t="shared" si="2"/>
        <v>391939.40916666668</v>
      </c>
      <c r="L12" s="515">
        <f t="shared" si="3"/>
        <v>20.96365065066998</v>
      </c>
      <c r="M12" s="505">
        <f t="shared" si="4"/>
        <v>0</v>
      </c>
      <c r="N12" s="512">
        <f t="shared" si="11"/>
        <v>1</v>
      </c>
      <c r="O12" s="511"/>
      <c r="P12" s="513"/>
      <c r="Q12" s="512">
        <v>4</v>
      </c>
      <c r="R12" s="505" t="str">
        <f t="shared" si="5"/>
        <v>1</v>
      </c>
      <c r="S12" s="505" t="str">
        <f t="shared" si="12"/>
        <v>0</v>
      </c>
      <c r="T12" s="505" t="str">
        <f t="shared" si="6"/>
        <v>0</v>
      </c>
      <c r="U12" s="505" t="str">
        <f t="shared" si="7"/>
        <v>0</v>
      </c>
      <c r="V12" s="505" t="str">
        <f t="shared" si="8"/>
        <v>0</v>
      </c>
      <c r="W12" s="505">
        <f t="shared" si="9"/>
        <v>0</v>
      </c>
      <c r="Y12" s="505">
        <f t="shared" si="10"/>
        <v>1</v>
      </c>
    </row>
    <row r="13" spans="1:25" s="505" customFormat="1" ht="35.1" customHeight="1" thickBot="1" x14ac:dyDescent="0.4">
      <c r="A13" s="505">
        <v>5</v>
      </c>
      <c r="B13" s="505">
        <v>9</v>
      </c>
      <c r="C13" s="516" t="s">
        <v>20</v>
      </c>
      <c r="D13" s="507">
        <v>1.37</v>
      </c>
      <c r="E13" s="518">
        <v>1.28</v>
      </c>
      <c r="F13" s="518">
        <v>1.1000000000000001</v>
      </c>
      <c r="G13" s="505">
        <f t="shared" si="0"/>
        <v>1</v>
      </c>
      <c r="H13" s="71">
        <v>7625175.0300000003</v>
      </c>
      <c r="I13" s="71">
        <v>5227728.7</v>
      </c>
      <c r="J13" s="505">
        <f t="shared" si="1"/>
        <v>0</v>
      </c>
      <c r="K13" s="509">
        <f t="shared" si="2"/>
        <v>435644.05833333335</v>
      </c>
      <c r="L13" s="515">
        <f t="shared" si="3"/>
        <v>17.503222835569108</v>
      </c>
      <c r="M13" s="505">
        <f t="shared" si="4"/>
        <v>0</v>
      </c>
      <c r="N13" s="522">
        <f t="shared" si="11"/>
        <v>1</v>
      </c>
      <c r="O13" s="511"/>
      <c r="P13" s="513"/>
      <c r="Q13" s="524">
        <v>1</v>
      </c>
      <c r="R13" s="505" t="str">
        <f t="shared" si="5"/>
        <v>1</v>
      </c>
      <c r="S13" s="505" t="str">
        <f t="shared" si="12"/>
        <v>0</v>
      </c>
      <c r="T13" s="505" t="str">
        <f t="shared" si="6"/>
        <v>0</v>
      </c>
      <c r="U13" s="505" t="str">
        <f t="shared" si="7"/>
        <v>0</v>
      </c>
      <c r="V13" s="505" t="str">
        <f t="shared" si="8"/>
        <v>0</v>
      </c>
      <c r="W13" s="505">
        <f t="shared" si="9"/>
        <v>0</v>
      </c>
      <c r="Y13" s="505">
        <f t="shared" si="10"/>
        <v>1</v>
      </c>
    </row>
    <row r="14" spans="1:25" s="505" customFormat="1" ht="35.1" customHeight="1" thickBot="1" x14ac:dyDescent="0.4">
      <c r="A14" s="505">
        <v>3</v>
      </c>
      <c r="B14" s="505">
        <v>10</v>
      </c>
      <c r="C14" s="516" t="s">
        <v>21</v>
      </c>
      <c r="D14" s="507">
        <v>2.04</v>
      </c>
      <c r="E14" s="518">
        <v>1.83</v>
      </c>
      <c r="F14" s="518">
        <v>1.33</v>
      </c>
      <c r="G14" s="505">
        <f t="shared" si="0"/>
        <v>0</v>
      </c>
      <c r="H14" s="71">
        <v>12211434.51</v>
      </c>
      <c r="I14" s="69">
        <v>4376437.3</v>
      </c>
      <c r="J14" s="505">
        <f t="shared" si="1"/>
        <v>0</v>
      </c>
      <c r="K14" s="509">
        <f t="shared" si="2"/>
        <v>364703.10833333334</v>
      </c>
      <c r="L14" s="515">
        <f t="shared" si="3"/>
        <v>33.48322027142946</v>
      </c>
      <c r="M14" s="505">
        <f t="shared" si="4"/>
        <v>0</v>
      </c>
      <c r="N14" s="519">
        <f t="shared" si="11"/>
        <v>0</v>
      </c>
      <c r="O14" s="511"/>
      <c r="P14" s="521"/>
      <c r="Q14" s="524">
        <v>1</v>
      </c>
      <c r="R14" s="505" t="str">
        <f t="shared" si="5"/>
        <v>0</v>
      </c>
      <c r="S14" s="505" t="str">
        <f t="shared" si="12"/>
        <v>0</v>
      </c>
      <c r="T14" s="505" t="str">
        <f t="shared" si="6"/>
        <v>0</v>
      </c>
      <c r="U14" s="505" t="str">
        <f t="shared" si="7"/>
        <v>0</v>
      </c>
      <c r="V14" s="505" t="str">
        <f t="shared" si="8"/>
        <v>0</v>
      </c>
      <c r="W14" s="505">
        <f t="shared" si="9"/>
        <v>0</v>
      </c>
      <c r="Y14" s="505">
        <f t="shared" si="10"/>
        <v>0</v>
      </c>
    </row>
    <row r="15" spans="1:25" s="505" customFormat="1" ht="35.1" customHeight="1" thickBot="1" x14ac:dyDescent="0.4">
      <c r="A15" s="505">
        <v>9</v>
      </c>
      <c r="B15" s="505">
        <v>11</v>
      </c>
      <c r="C15" s="516" t="s">
        <v>22</v>
      </c>
      <c r="D15" s="507">
        <v>1.74</v>
      </c>
      <c r="E15" s="518">
        <v>1.57</v>
      </c>
      <c r="F15" s="518">
        <v>1.26</v>
      </c>
      <c r="G15" s="505">
        <f t="shared" si="0"/>
        <v>0</v>
      </c>
      <c r="H15" s="71">
        <v>9317874.4700000007</v>
      </c>
      <c r="I15" s="71">
        <v>5231699.8899999997</v>
      </c>
      <c r="J15" s="505">
        <f t="shared" si="1"/>
        <v>0</v>
      </c>
      <c r="K15" s="509">
        <f t="shared" si="2"/>
        <v>435974.99083333329</v>
      </c>
      <c r="L15" s="515">
        <f t="shared" si="3"/>
        <v>21.372497656779778</v>
      </c>
      <c r="M15" s="505">
        <f t="shared" si="4"/>
        <v>0</v>
      </c>
      <c r="N15" s="527">
        <f t="shared" si="11"/>
        <v>0</v>
      </c>
      <c r="O15" s="511"/>
      <c r="P15" s="513"/>
      <c r="Q15" s="528">
        <v>4</v>
      </c>
      <c r="R15" s="505" t="str">
        <f t="shared" si="5"/>
        <v>0</v>
      </c>
      <c r="S15" s="505" t="str">
        <f t="shared" si="12"/>
        <v>0</v>
      </c>
      <c r="T15" s="505" t="str">
        <f t="shared" si="6"/>
        <v>0</v>
      </c>
      <c r="U15" s="505" t="str">
        <f t="shared" si="7"/>
        <v>0</v>
      </c>
      <c r="V15" s="505" t="str">
        <f t="shared" si="8"/>
        <v>0</v>
      </c>
      <c r="W15" s="505">
        <f t="shared" si="9"/>
        <v>0</v>
      </c>
      <c r="Y15" s="505">
        <f t="shared" si="10"/>
        <v>0</v>
      </c>
    </row>
    <row r="16" spans="1:25" s="505" customFormat="1" ht="35.1" customHeight="1" thickBot="1" x14ac:dyDescent="0.4">
      <c r="A16" s="505">
        <v>15</v>
      </c>
      <c r="B16" s="505">
        <v>12</v>
      </c>
      <c r="C16" s="516" t="s">
        <v>23</v>
      </c>
      <c r="D16" s="518">
        <v>2.06</v>
      </c>
      <c r="E16" s="518">
        <v>1.9</v>
      </c>
      <c r="F16" s="518">
        <v>1.66</v>
      </c>
      <c r="G16" s="505">
        <f t="shared" si="0"/>
        <v>0</v>
      </c>
      <c r="H16" s="71">
        <v>44562003.439999998</v>
      </c>
      <c r="I16" s="71">
        <v>9138204.7200000007</v>
      </c>
      <c r="J16" s="505">
        <f t="shared" si="1"/>
        <v>0</v>
      </c>
      <c r="K16" s="509">
        <f t="shared" si="2"/>
        <v>761517.06</v>
      </c>
      <c r="L16" s="515">
        <f t="shared" si="3"/>
        <v>58.517406609380487</v>
      </c>
      <c r="M16" s="505">
        <f t="shared" si="4"/>
        <v>0</v>
      </c>
      <c r="N16" s="524">
        <f t="shared" si="11"/>
        <v>0</v>
      </c>
      <c r="O16" s="511"/>
      <c r="P16" s="521"/>
      <c r="Q16" s="524">
        <v>1</v>
      </c>
      <c r="R16" s="505" t="str">
        <f t="shared" si="5"/>
        <v>0</v>
      </c>
      <c r="S16" s="505" t="str">
        <f t="shared" si="12"/>
        <v>0</v>
      </c>
      <c r="T16" s="505" t="str">
        <f t="shared" si="6"/>
        <v>0</v>
      </c>
      <c r="U16" s="505" t="str">
        <f t="shared" si="7"/>
        <v>0</v>
      </c>
      <c r="V16" s="505" t="str">
        <f t="shared" si="8"/>
        <v>0</v>
      </c>
      <c r="W16" s="505">
        <f t="shared" si="9"/>
        <v>0</v>
      </c>
      <c r="Y16" s="505">
        <f t="shared" si="10"/>
        <v>0</v>
      </c>
    </row>
    <row r="17" spans="1:25" s="505" customFormat="1" ht="35.1" customHeight="1" thickBot="1" x14ac:dyDescent="0.4">
      <c r="A17" s="505">
        <v>6</v>
      </c>
      <c r="B17" s="505">
        <v>13</v>
      </c>
      <c r="C17" s="516" t="s">
        <v>24</v>
      </c>
      <c r="D17" s="507">
        <v>1.74</v>
      </c>
      <c r="E17" s="518">
        <v>1.58</v>
      </c>
      <c r="F17" s="518">
        <v>1.36</v>
      </c>
      <c r="G17" s="505">
        <f t="shared" si="0"/>
        <v>0</v>
      </c>
      <c r="H17" s="71">
        <v>5248085.79</v>
      </c>
      <c r="I17" s="69">
        <v>2928790.47</v>
      </c>
      <c r="J17" s="505">
        <f t="shared" si="1"/>
        <v>0</v>
      </c>
      <c r="K17" s="509">
        <f t="shared" si="2"/>
        <v>244065.87250000003</v>
      </c>
      <c r="L17" s="515">
        <f t="shared" si="3"/>
        <v>21.502743239942323</v>
      </c>
      <c r="M17" s="505">
        <f t="shared" si="4"/>
        <v>0</v>
      </c>
      <c r="N17" s="520">
        <f t="shared" si="11"/>
        <v>0</v>
      </c>
      <c r="O17" s="523"/>
      <c r="P17" s="521"/>
      <c r="Q17" s="524">
        <v>1</v>
      </c>
      <c r="R17" s="505" t="str">
        <f t="shared" si="5"/>
        <v>0</v>
      </c>
      <c r="S17" s="505" t="str">
        <f t="shared" si="12"/>
        <v>0</v>
      </c>
      <c r="T17" s="505" t="str">
        <f t="shared" si="6"/>
        <v>0</v>
      </c>
      <c r="U17" s="505" t="str">
        <f t="shared" si="7"/>
        <v>0</v>
      </c>
      <c r="V17" s="505" t="str">
        <f t="shared" si="8"/>
        <v>0</v>
      </c>
      <c r="W17" s="505">
        <f t="shared" si="9"/>
        <v>0</v>
      </c>
      <c r="Y17" s="505">
        <f t="shared" si="10"/>
        <v>0</v>
      </c>
    </row>
    <row r="18" spans="1:25" s="505" customFormat="1" ht="35.1" customHeight="1" thickBot="1" x14ac:dyDescent="0.4">
      <c r="A18" s="505">
        <v>1</v>
      </c>
      <c r="B18" s="505">
        <v>14</v>
      </c>
      <c r="C18" s="516" t="s">
        <v>25</v>
      </c>
      <c r="D18" s="507">
        <v>1.57</v>
      </c>
      <c r="E18" s="507">
        <v>1.45</v>
      </c>
      <c r="F18" s="507">
        <v>1.03</v>
      </c>
      <c r="G18" s="505">
        <f t="shared" si="0"/>
        <v>0</v>
      </c>
      <c r="H18" s="71">
        <v>11353025.32</v>
      </c>
      <c r="I18" s="69">
        <v>6349672.6399999997</v>
      </c>
      <c r="J18" s="505">
        <f t="shared" si="1"/>
        <v>0</v>
      </c>
      <c r="K18" s="509">
        <f t="shared" si="2"/>
        <v>529139.3866666666</v>
      </c>
      <c r="L18" s="515">
        <f t="shared" si="3"/>
        <v>21.455642135277074</v>
      </c>
      <c r="M18" s="505">
        <f t="shared" si="4"/>
        <v>0</v>
      </c>
      <c r="N18" s="630">
        <f t="shared" si="11"/>
        <v>0</v>
      </c>
      <c r="O18" s="511"/>
      <c r="P18" s="513"/>
      <c r="Q18" s="630">
        <v>5</v>
      </c>
      <c r="R18" s="505" t="str">
        <f t="shared" si="5"/>
        <v>0</v>
      </c>
      <c r="S18" s="505" t="str">
        <f t="shared" si="12"/>
        <v>0</v>
      </c>
      <c r="T18" s="505" t="str">
        <f t="shared" si="6"/>
        <v>0</v>
      </c>
      <c r="U18" s="505" t="str">
        <f t="shared" si="7"/>
        <v>0</v>
      </c>
      <c r="V18" s="505" t="str">
        <f t="shared" si="8"/>
        <v>0</v>
      </c>
      <c r="W18" s="505">
        <f t="shared" si="9"/>
        <v>0</v>
      </c>
      <c r="Y18" s="505">
        <f t="shared" si="10"/>
        <v>0</v>
      </c>
    </row>
    <row r="19" spans="1:25" s="505" customFormat="1" ht="35.1" customHeight="1" thickBot="1" x14ac:dyDescent="0.4">
      <c r="A19" s="505">
        <v>7</v>
      </c>
      <c r="B19" s="505">
        <v>15</v>
      </c>
      <c r="C19" s="516" t="s">
        <v>26</v>
      </c>
      <c r="D19" s="507">
        <v>1.51</v>
      </c>
      <c r="E19" s="518">
        <v>1.38</v>
      </c>
      <c r="F19" s="518">
        <v>1.2</v>
      </c>
      <c r="G19" s="505">
        <f t="shared" si="0"/>
        <v>0</v>
      </c>
      <c r="H19" s="71">
        <v>7113768.7199999997</v>
      </c>
      <c r="I19" s="71">
        <v>3104342.87</v>
      </c>
      <c r="J19" s="505">
        <f t="shared" si="1"/>
        <v>0</v>
      </c>
      <c r="K19" s="509">
        <f t="shared" si="2"/>
        <v>258695.23916666667</v>
      </c>
      <c r="L19" s="515">
        <f t="shared" si="3"/>
        <v>27.498645676339223</v>
      </c>
      <c r="M19" s="505">
        <f t="shared" si="4"/>
        <v>0</v>
      </c>
      <c r="N19" s="524">
        <f t="shared" si="11"/>
        <v>0</v>
      </c>
      <c r="O19" s="511"/>
      <c r="P19" s="513"/>
      <c r="Q19" s="528">
        <v>4</v>
      </c>
      <c r="R19" s="505" t="str">
        <f t="shared" si="5"/>
        <v>0</v>
      </c>
      <c r="S19" s="505" t="str">
        <f t="shared" si="12"/>
        <v>0</v>
      </c>
      <c r="T19" s="505" t="str">
        <f t="shared" si="6"/>
        <v>0</v>
      </c>
      <c r="U19" s="505" t="str">
        <f t="shared" si="7"/>
        <v>0</v>
      </c>
      <c r="V19" s="505" t="str">
        <f t="shared" si="8"/>
        <v>0</v>
      </c>
      <c r="W19" s="505">
        <f t="shared" si="9"/>
        <v>0</v>
      </c>
      <c r="Y19" s="505">
        <f t="shared" si="10"/>
        <v>0</v>
      </c>
    </row>
    <row r="20" spans="1:25" s="505" customFormat="1" ht="35.1" customHeight="1" thickBot="1" x14ac:dyDescent="0.4">
      <c r="A20" s="505">
        <v>12</v>
      </c>
      <c r="B20" s="505">
        <v>16</v>
      </c>
      <c r="C20" s="506" t="s">
        <v>27</v>
      </c>
      <c r="D20" s="507">
        <v>1.52</v>
      </c>
      <c r="E20" s="518">
        <v>1.39</v>
      </c>
      <c r="F20" s="518">
        <v>1.1000000000000001</v>
      </c>
      <c r="G20" s="505">
        <f t="shared" si="0"/>
        <v>0</v>
      </c>
      <c r="H20" s="71">
        <v>4220366.84</v>
      </c>
      <c r="I20" s="71">
        <v>3912653.19</v>
      </c>
      <c r="J20" s="505">
        <f t="shared" si="1"/>
        <v>0</v>
      </c>
      <c r="K20" s="509">
        <f t="shared" si="2"/>
        <v>326054.4325</v>
      </c>
      <c r="L20" s="515">
        <f t="shared" si="3"/>
        <v>12.943749323205413</v>
      </c>
      <c r="M20" s="505">
        <f t="shared" si="4"/>
        <v>0</v>
      </c>
      <c r="N20" s="522">
        <f t="shared" si="11"/>
        <v>0</v>
      </c>
      <c r="O20" s="511"/>
      <c r="P20" s="513"/>
      <c r="Q20" s="528">
        <v>4</v>
      </c>
      <c r="R20" s="505" t="str">
        <f t="shared" si="5"/>
        <v>0</v>
      </c>
      <c r="S20" s="505" t="str">
        <f t="shared" si="12"/>
        <v>0</v>
      </c>
      <c r="T20" s="505" t="str">
        <f t="shared" si="6"/>
        <v>0</v>
      </c>
      <c r="U20" s="505" t="str">
        <f t="shared" si="7"/>
        <v>0</v>
      </c>
      <c r="V20" s="505" t="str">
        <f t="shared" si="8"/>
        <v>0</v>
      </c>
      <c r="W20" s="505">
        <f t="shared" si="9"/>
        <v>0</v>
      </c>
      <c r="Y20" s="505">
        <f t="shared" si="10"/>
        <v>0</v>
      </c>
    </row>
    <row r="21" spans="1:25" ht="9" customHeight="1" x14ac:dyDescent="0.25">
      <c r="H21" s="530"/>
      <c r="I21" s="530"/>
      <c r="L21" s="531"/>
      <c r="M21" s="531"/>
      <c r="N21" s="531"/>
    </row>
    <row r="22" spans="1:25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5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60" t="s">
        <v>31</v>
      </c>
      <c r="M23" s="760"/>
      <c r="N23" s="760"/>
    </row>
    <row r="24" spans="1:25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60"/>
      <c r="M24" s="760"/>
      <c r="N24" s="760"/>
    </row>
    <row r="25" spans="1:25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60" t="s">
        <v>31</v>
      </c>
      <c r="M25" s="760"/>
      <c r="N25" s="760"/>
    </row>
    <row r="26" spans="1:25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60"/>
      <c r="M26" s="760"/>
      <c r="N26" s="760"/>
    </row>
    <row r="27" spans="1:25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61" t="s">
        <v>31</v>
      </c>
      <c r="L27" s="761"/>
      <c r="M27" s="625"/>
      <c r="N27" s="625"/>
    </row>
    <row r="28" spans="1:25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5" ht="11.25" customHeight="1" x14ac:dyDescent="0.25">
      <c r="I29" s="534"/>
      <c r="J29" s="534"/>
      <c r="K29" s="549"/>
      <c r="L29" s="550"/>
      <c r="M29" s="550"/>
      <c r="N29" s="550"/>
    </row>
    <row r="30" spans="1:25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60" t="s">
        <v>31</v>
      </c>
      <c r="M30" s="760"/>
      <c r="N30" s="760"/>
    </row>
    <row r="31" spans="1:25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60"/>
      <c r="M31" s="760"/>
      <c r="N31" s="760"/>
    </row>
    <row r="32" spans="1:25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mergeCells count="22"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  <mergeCell ref="L23:N24"/>
    <mergeCell ref="L25:N26"/>
    <mergeCell ref="K27:L27"/>
    <mergeCell ref="L30:N31"/>
    <mergeCell ref="P2:P4"/>
    <mergeCell ref="O3:O4"/>
  </mergeCells>
  <conditionalFormatting sqref="N5:N2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3"/>
  <sheetViews>
    <sheetView topLeftCell="B1" zoomScale="70" zoomScaleNormal="70" workbookViewId="0">
      <pane xSplit="2" ySplit="4" topLeftCell="D15" activePane="bottomRight" state="frozen"/>
      <selection activeCell="B1" sqref="B1"/>
      <selection pane="topRight" activeCell="D1" sqref="D1"/>
      <selection pane="bottomLeft" activeCell="B5" sqref="B5"/>
      <selection pane="bottomRight" activeCell="I13" sqref="I13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16384" width="9" style="499"/>
  </cols>
  <sheetData>
    <row r="1" spans="1:25" ht="41.25" customHeight="1" thickBot="1" x14ac:dyDescent="0.3">
      <c r="C1" s="733" t="s">
        <v>56</v>
      </c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500"/>
      <c r="P1" s="500"/>
    </row>
    <row r="2" spans="1:25" ht="60.75" customHeight="1" thickBot="1" x14ac:dyDescent="0.3">
      <c r="C2" s="727" t="s">
        <v>1</v>
      </c>
      <c r="D2" s="734" t="s">
        <v>161</v>
      </c>
      <c r="E2" s="734"/>
      <c r="F2" s="734"/>
      <c r="G2" s="734"/>
      <c r="H2" s="735" t="s">
        <v>162</v>
      </c>
      <c r="I2" s="735"/>
      <c r="J2" s="735"/>
      <c r="K2" s="736" t="s">
        <v>163</v>
      </c>
      <c r="L2" s="736"/>
      <c r="M2" s="736"/>
      <c r="N2" s="737" t="s">
        <v>273</v>
      </c>
      <c r="O2" s="501"/>
      <c r="P2" s="762" t="s">
        <v>165</v>
      </c>
      <c r="R2" s="502"/>
    </row>
    <row r="3" spans="1:25" ht="63" customHeight="1" thickBot="1" x14ac:dyDescent="0.3">
      <c r="C3" s="727"/>
      <c r="D3" s="740" t="s">
        <v>2</v>
      </c>
      <c r="E3" s="740" t="s">
        <v>3</v>
      </c>
      <c r="F3" s="740" t="s">
        <v>4</v>
      </c>
      <c r="G3" s="741" t="s">
        <v>166</v>
      </c>
      <c r="H3" s="742" t="s">
        <v>167</v>
      </c>
      <c r="I3" s="727" t="s">
        <v>168</v>
      </c>
      <c r="J3" s="730" t="s">
        <v>166</v>
      </c>
      <c r="K3" s="732" t="s">
        <v>169</v>
      </c>
      <c r="L3" s="727" t="s">
        <v>170</v>
      </c>
      <c r="M3" s="738" t="s">
        <v>166</v>
      </c>
      <c r="N3" s="737"/>
      <c r="O3" s="763" t="s">
        <v>80</v>
      </c>
      <c r="P3" s="762"/>
      <c r="R3" s="502"/>
    </row>
    <row r="4" spans="1:25" ht="86.25" customHeight="1" thickBot="1" x14ac:dyDescent="0.3">
      <c r="C4" s="727"/>
      <c r="D4" s="740"/>
      <c r="E4" s="740"/>
      <c r="F4" s="740"/>
      <c r="G4" s="741"/>
      <c r="H4" s="742"/>
      <c r="I4" s="727"/>
      <c r="J4" s="731"/>
      <c r="K4" s="732"/>
      <c r="L4" s="727"/>
      <c r="M4" s="739"/>
      <c r="N4" s="737"/>
      <c r="O4" s="763"/>
      <c r="P4" s="762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</row>
    <row r="5" spans="1:25" s="505" customFormat="1" ht="35.1" customHeight="1" thickBot="1" x14ac:dyDescent="0.4">
      <c r="A5" s="505">
        <v>13</v>
      </c>
      <c r="B5" s="505">
        <v>1</v>
      </c>
      <c r="C5" s="506" t="s">
        <v>12</v>
      </c>
      <c r="D5" s="518">
        <v>4.0599999999999996</v>
      </c>
      <c r="E5" s="518">
        <v>3.92</v>
      </c>
      <c r="F5" s="518">
        <v>2.12</v>
      </c>
      <c r="G5" s="505">
        <f t="shared" ref="G5:G20" si="0">(IF(D5&lt;1.5,1,0))+(IF(E5&lt;1,1,0))+(IF(F5&lt;0.8,1,0))</f>
        <v>0</v>
      </c>
      <c r="H5" s="71">
        <v>667766804.79999995</v>
      </c>
      <c r="I5" s="71">
        <v>190791749.33000001</v>
      </c>
      <c r="J5" s="505">
        <f t="shared" ref="J5:J20" si="1">IF(I5&lt;0,1,0)+IF(H5&lt;0,1,0)</f>
        <v>0</v>
      </c>
      <c r="K5" s="509">
        <f t="shared" ref="K5:K20" si="2">SUM(I5/12)</f>
        <v>15899312.444166668</v>
      </c>
      <c r="L5" s="515">
        <f t="shared" ref="L5:L20" si="3">H5/K5</f>
        <v>41.999728425048865</v>
      </c>
      <c r="M5" s="505">
        <f t="shared" ref="M5:M20" si="4">IF(I5&lt;0,IF((H5/-(I5/12))&lt;3,2,IF((H5/(-I5/12))&lt;6,1,0)),0)</f>
        <v>0</v>
      </c>
      <c r="N5" s="514">
        <f>+Y5</f>
        <v>0</v>
      </c>
      <c r="O5" s="514"/>
      <c r="P5" s="521"/>
      <c r="Q5" s="514">
        <v>0</v>
      </c>
      <c r="R5" s="505" t="str">
        <f t="shared" ref="R5:R20" si="5">IF(D5&lt;1.5,"1",IF(D5&gt;=1.5,"0"))</f>
        <v>0</v>
      </c>
      <c r="S5" s="505" t="str">
        <f>IF(E5&lt;=1,"1",IF(E5&gt;1,"0"))</f>
        <v>0</v>
      </c>
      <c r="T5" s="505" t="str">
        <f t="shared" ref="T5:T20" si="6">IF(F5&lt;0.8,"1",IF(F5&gt;=0.8,"0"))</f>
        <v>0</v>
      </c>
      <c r="U5" s="505" t="str">
        <f t="shared" ref="U5:U20" si="7">IF(H5&lt;0,"1",IF(H5&gt;=0,"0"))</f>
        <v>0</v>
      </c>
      <c r="V5" s="505" t="str">
        <f t="shared" ref="V5:V20" si="8">IF(I5&lt;0,"1",IF(I5&gt;=0,"0"))</f>
        <v>0</v>
      </c>
      <c r="W5" s="505">
        <f t="shared" ref="W5:W20" si="9">IF(I5&lt;0,IF((H5/-(I5/12))&lt;3,2,IF((H5/(-I5/12))&lt;6,1,0)),0)</f>
        <v>0</v>
      </c>
      <c r="Y5" s="505">
        <f t="shared" ref="Y5:Y20" si="10">+R5+S5+T5+U5+V5+W5</f>
        <v>0</v>
      </c>
    </row>
    <row r="6" spans="1:25" s="505" customFormat="1" ht="35.1" customHeight="1" thickBot="1" x14ac:dyDescent="0.4">
      <c r="A6" s="505">
        <v>2</v>
      </c>
      <c r="B6" s="505">
        <v>2</v>
      </c>
      <c r="C6" s="506" t="s">
        <v>13</v>
      </c>
      <c r="D6" s="507">
        <v>1.25</v>
      </c>
      <c r="E6" s="507">
        <v>1.08</v>
      </c>
      <c r="F6" s="507">
        <v>0.62</v>
      </c>
      <c r="G6" s="505">
        <f t="shared" si="0"/>
        <v>2</v>
      </c>
      <c r="H6" s="71">
        <v>24243190.780000001</v>
      </c>
      <c r="I6" s="69">
        <v>65184555.149999999</v>
      </c>
      <c r="J6" s="505">
        <f t="shared" si="1"/>
        <v>0</v>
      </c>
      <c r="K6" s="509">
        <f t="shared" si="2"/>
        <v>5432046.2625000002</v>
      </c>
      <c r="L6" s="515">
        <f t="shared" si="3"/>
        <v>4.4629941661878476</v>
      </c>
      <c r="M6" s="505">
        <f t="shared" si="4"/>
        <v>0</v>
      </c>
      <c r="N6" s="512">
        <f>+G6+J6+M6</f>
        <v>2</v>
      </c>
      <c r="O6" s="511"/>
      <c r="P6" s="513"/>
      <c r="Q6" s="514">
        <v>0</v>
      </c>
      <c r="R6" s="505" t="str">
        <f t="shared" si="5"/>
        <v>1</v>
      </c>
      <c r="S6" s="505" t="str">
        <f>IF(E6&lt;=1,"1",IF(E6&gt;1,"0"))</f>
        <v>0</v>
      </c>
      <c r="T6" s="505" t="str">
        <f t="shared" si="6"/>
        <v>1</v>
      </c>
      <c r="U6" s="505" t="str">
        <f t="shared" si="7"/>
        <v>0</v>
      </c>
      <c r="V6" s="505" t="str">
        <f t="shared" si="8"/>
        <v>0</v>
      </c>
      <c r="W6" s="505">
        <f t="shared" si="9"/>
        <v>0</v>
      </c>
      <c r="Y6" s="505">
        <f t="shared" si="10"/>
        <v>2</v>
      </c>
    </row>
    <row r="7" spans="1:25" s="505" customFormat="1" ht="35.1" customHeight="1" thickBot="1" x14ac:dyDescent="0.4">
      <c r="A7" s="505">
        <v>8</v>
      </c>
      <c r="B7" s="505">
        <v>3</v>
      </c>
      <c r="C7" s="506" t="s">
        <v>14</v>
      </c>
      <c r="D7" s="507">
        <v>1.45</v>
      </c>
      <c r="E7" s="518">
        <v>1.3</v>
      </c>
      <c r="F7" s="518">
        <v>1.04</v>
      </c>
      <c r="G7" s="505">
        <f t="shared" si="0"/>
        <v>1</v>
      </c>
      <c r="H7" s="71">
        <v>12606610.789999999</v>
      </c>
      <c r="I7" s="71">
        <v>13513831.710000001</v>
      </c>
      <c r="J7" s="505">
        <f t="shared" si="1"/>
        <v>0</v>
      </c>
      <c r="K7" s="509">
        <f t="shared" si="2"/>
        <v>1126152.6425000001</v>
      </c>
      <c r="L7" s="515">
        <f t="shared" si="3"/>
        <v>11.194406791972694</v>
      </c>
      <c r="M7" s="505">
        <f t="shared" si="4"/>
        <v>0</v>
      </c>
      <c r="N7" s="522">
        <f t="shared" ref="N7:N20" si="11">+Y7</f>
        <v>1</v>
      </c>
      <c r="O7" s="511"/>
      <c r="P7" s="513"/>
      <c r="Q7" s="522">
        <v>1</v>
      </c>
      <c r="R7" s="505" t="str">
        <f t="shared" si="5"/>
        <v>1</v>
      </c>
      <c r="S7" s="526" t="str">
        <f>IF(E7&lt;1,"1",IF(E7&gt;=1,"0"))</f>
        <v>0</v>
      </c>
      <c r="T7" s="505" t="str">
        <f t="shared" si="6"/>
        <v>0</v>
      </c>
      <c r="U7" s="505" t="str">
        <f t="shared" si="7"/>
        <v>0</v>
      </c>
      <c r="V7" s="505" t="str">
        <f t="shared" si="8"/>
        <v>0</v>
      </c>
      <c r="W7" s="505">
        <f t="shared" si="9"/>
        <v>0</v>
      </c>
      <c r="Y7" s="505">
        <f t="shared" si="10"/>
        <v>1</v>
      </c>
    </row>
    <row r="8" spans="1:25" s="505" customFormat="1" ht="35.1" customHeight="1" thickBot="1" x14ac:dyDescent="0.4">
      <c r="A8" s="505">
        <v>16</v>
      </c>
      <c r="B8" s="505">
        <v>4</v>
      </c>
      <c r="C8" s="506" t="s">
        <v>15</v>
      </c>
      <c r="D8" s="507">
        <v>1.68</v>
      </c>
      <c r="E8" s="518">
        <v>1.58</v>
      </c>
      <c r="F8" s="518">
        <v>1.1000000000000001</v>
      </c>
      <c r="G8" s="505">
        <f t="shared" si="0"/>
        <v>0</v>
      </c>
      <c r="H8" s="71">
        <v>10766423.279999999</v>
      </c>
      <c r="I8" s="69">
        <v>12143027.07</v>
      </c>
      <c r="J8" s="505">
        <f t="shared" si="1"/>
        <v>0</v>
      </c>
      <c r="K8" s="509">
        <f t="shared" si="2"/>
        <v>1011918.9225</v>
      </c>
      <c r="L8" s="515">
        <f t="shared" si="3"/>
        <v>10.639610585995342</v>
      </c>
      <c r="M8" s="505">
        <f t="shared" si="4"/>
        <v>0</v>
      </c>
      <c r="N8" s="519">
        <f t="shared" si="11"/>
        <v>0</v>
      </c>
      <c r="O8" s="511"/>
      <c r="P8" s="513"/>
      <c r="Q8" s="520">
        <v>2</v>
      </c>
      <c r="R8" s="505" t="str">
        <f t="shared" si="5"/>
        <v>0</v>
      </c>
      <c r="S8" s="505" t="str">
        <f t="shared" ref="S8:S20" si="12">IF(E8&lt;=1,"1",IF(E8&gt;1,"0"))</f>
        <v>0</v>
      </c>
      <c r="T8" s="505" t="str">
        <f t="shared" si="6"/>
        <v>0</v>
      </c>
      <c r="U8" s="505" t="str">
        <f t="shared" si="7"/>
        <v>0</v>
      </c>
      <c r="V8" s="505" t="str">
        <f t="shared" si="8"/>
        <v>0</v>
      </c>
      <c r="W8" s="505">
        <f t="shared" si="9"/>
        <v>0</v>
      </c>
      <c r="Y8" s="505">
        <f t="shared" si="10"/>
        <v>0</v>
      </c>
    </row>
    <row r="9" spans="1:25" s="505" customFormat="1" ht="35.1" customHeight="1" thickBot="1" x14ac:dyDescent="0.4">
      <c r="A9" s="505">
        <v>14</v>
      </c>
      <c r="B9" s="505">
        <v>5</v>
      </c>
      <c r="C9" s="506" t="s">
        <v>16</v>
      </c>
      <c r="D9" s="518">
        <v>2.4300000000000002</v>
      </c>
      <c r="E9" s="518">
        <v>2.08</v>
      </c>
      <c r="F9" s="518">
        <v>1.75</v>
      </c>
      <c r="G9" s="505">
        <f t="shared" si="0"/>
        <v>0</v>
      </c>
      <c r="H9" s="71">
        <v>18987494.18</v>
      </c>
      <c r="I9" s="69">
        <v>10431104.24</v>
      </c>
      <c r="J9" s="505">
        <f t="shared" si="1"/>
        <v>0</v>
      </c>
      <c r="K9" s="509">
        <f t="shared" si="2"/>
        <v>869258.68666666665</v>
      </c>
      <c r="L9" s="515">
        <f t="shared" si="3"/>
        <v>21.843318302415891</v>
      </c>
      <c r="M9" s="505">
        <f t="shared" si="4"/>
        <v>0</v>
      </c>
      <c r="N9" s="522">
        <f t="shared" si="11"/>
        <v>0</v>
      </c>
      <c r="O9" s="511"/>
      <c r="P9" s="513"/>
      <c r="Q9" s="522">
        <v>1</v>
      </c>
      <c r="R9" s="505" t="str">
        <f t="shared" si="5"/>
        <v>0</v>
      </c>
      <c r="S9" s="505" t="str">
        <f t="shared" si="12"/>
        <v>0</v>
      </c>
      <c r="T9" s="505" t="str">
        <f t="shared" si="6"/>
        <v>0</v>
      </c>
      <c r="U9" s="505" t="str">
        <f t="shared" si="7"/>
        <v>0</v>
      </c>
      <c r="V9" s="505" t="str">
        <f t="shared" si="8"/>
        <v>0</v>
      </c>
      <c r="W9" s="505">
        <f t="shared" si="9"/>
        <v>0</v>
      </c>
      <c r="Y9" s="505">
        <f t="shared" si="10"/>
        <v>0</v>
      </c>
    </row>
    <row r="10" spans="1:25" s="505" customFormat="1" ht="35.1" customHeight="1" thickBot="1" x14ac:dyDescent="0.4">
      <c r="A10" s="505">
        <v>10</v>
      </c>
      <c r="B10" s="505">
        <v>6</v>
      </c>
      <c r="C10" s="516" t="s">
        <v>17</v>
      </c>
      <c r="D10" s="518">
        <v>1.53</v>
      </c>
      <c r="E10" s="518">
        <v>1.4</v>
      </c>
      <c r="F10" s="518">
        <v>1.23</v>
      </c>
      <c r="G10" s="505">
        <f t="shared" si="0"/>
        <v>0</v>
      </c>
      <c r="H10" s="71">
        <v>8822932.4299999997</v>
      </c>
      <c r="I10" s="71">
        <v>8183534.0199999996</v>
      </c>
      <c r="J10" s="505">
        <f t="shared" si="1"/>
        <v>0</v>
      </c>
      <c r="K10" s="509">
        <f t="shared" si="2"/>
        <v>681961.16833333333</v>
      </c>
      <c r="L10" s="515">
        <f t="shared" si="3"/>
        <v>12.937587709814396</v>
      </c>
      <c r="M10" s="505">
        <f t="shared" si="4"/>
        <v>0</v>
      </c>
      <c r="N10" s="519">
        <f t="shared" si="11"/>
        <v>0</v>
      </c>
      <c r="O10" s="511"/>
      <c r="P10" s="513"/>
      <c r="Q10" s="520">
        <v>2</v>
      </c>
      <c r="R10" s="505" t="str">
        <f t="shared" si="5"/>
        <v>0</v>
      </c>
      <c r="S10" s="505" t="str">
        <f t="shared" si="12"/>
        <v>0</v>
      </c>
      <c r="T10" s="505" t="str">
        <f t="shared" si="6"/>
        <v>0</v>
      </c>
      <c r="U10" s="505" t="str">
        <f t="shared" si="7"/>
        <v>0</v>
      </c>
      <c r="V10" s="505" t="str">
        <f t="shared" si="8"/>
        <v>0</v>
      </c>
      <c r="W10" s="505">
        <f t="shared" si="9"/>
        <v>0</v>
      </c>
      <c r="Y10" s="505">
        <f t="shared" si="10"/>
        <v>0</v>
      </c>
    </row>
    <row r="11" spans="1:25" s="505" customFormat="1" ht="35.1" customHeight="1" thickBot="1" x14ac:dyDescent="0.4">
      <c r="A11" s="505">
        <v>11</v>
      </c>
      <c r="B11" s="505">
        <v>7</v>
      </c>
      <c r="C11" s="516" t="s">
        <v>18</v>
      </c>
      <c r="D11" s="518">
        <v>2.46</v>
      </c>
      <c r="E11" s="518">
        <v>2.27</v>
      </c>
      <c r="F11" s="518">
        <v>1.64</v>
      </c>
      <c r="G11" s="505">
        <f t="shared" si="0"/>
        <v>0</v>
      </c>
      <c r="H11" s="71">
        <v>47331086.520000003</v>
      </c>
      <c r="I11" s="71">
        <v>21214888.289999999</v>
      </c>
      <c r="J11" s="505">
        <f t="shared" si="1"/>
        <v>0</v>
      </c>
      <c r="K11" s="509">
        <f t="shared" si="2"/>
        <v>1767907.3574999999</v>
      </c>
      <c r="L11" s="515">
        <f t="shared" si="3"/>
        <v>26.772379400542206</v>
      </c>
      <c r="M11" s="505">
        <f t="shared" si="4"/>
        <v>0</v>
      </c>
      <c r="N11" s="514">
        <f t="shared" si="11"/>
        <v>0</v>
      </c>
      <c r="O11" s="514"/>
      <c r="P11" s="521"/>
      <c r="Q11" s="529">
        <v>0</v>
      </c>
      <c r="R11" s="505" t="str">
        <f t="shared" si="5"/>
        <v>0</v>
      </c>
      <c r="S11" s="505" t="str">
        <f t="shared" si="12"/>
        <v>0</v>
      </c>
      <c r="T11" s="505" t="str">
        <f t="shared" si="6"/>
        <v>0</v>
      </c>
      <c r="U11" s="505" t="str">
        <f t="shared" si="7"/>
        <v>0</v>
      </c>
      <c r="V11" s="505" t="str">
        <f t="shared" si="8"/>
        <v>0</v>
      </c>
      <c r="W11" s="505">
        <f t="shared" si="9"/>
        <v>0</v>
      </c>
      <c r="Y11" s="505">
        <f t="shared" si="10"/>
        <v>0</v>
      </c>
    </row>
    <row r="12" spans="1:25" s="505" customFormat="1" ht="35.1" customHeight="1" thickBot="1" x14ac:dyDescent="0.4">
      <c r="A12" s="505">
        <v>4</v>
      </c>
      <c r="B12" s="505">
        <v>8</v>
      </c>
      <c r="C12" s="516" t="s">
        <v>19</v>
      </c>
      <c r="D12" s="507">
        <v>1.33</v>
      </c>
      <c r="E12" s="507">
        <v>1.17</v>
      </c>
      <c r="F12" s="507">
        <v>0.86</v>
      </c>
      <c r="G12" s="505">
        <f t="shared" si="0"/>
        <v>1</v>
      </c>
      <c r="H12" s="69">
        <v>7461855.3899999997</v>
      </c>
      <c r="I12" s="71">
        <v>9923656.3399999999</v>
      </c>
      <c r="J12" s="505">
        <f t="shared" si="1"/>
        <v>0</v>
      </c>
      <c r="K12" s="509">
        <f t="shared" si="2"/>
        <v>826971.36166666669</v>
      </c>
      <c r="L12" s="515">
        <f t="shared" si="3"/>
        <v>9.023112209063056</v>
      </c>
      <c r="M12" s="505">
        <f t="shared" si="4"/>
        <v>0</v>
      </c>
      <c r="N12" s="512">
        <f t="shared" si="11"/>
        <v>1</v>
      </c>
      <c r="O12" s="511"/>
      <c r="P12" s="513"/>
      <c r="Q12" s="512">
        <v>4</v>
      </c>
      <c r="R12" s="505" t="str">
        <f t="shared" si="5"/>
        <v>1</v>
      </c>
      <c r="S12" s="505" t="str">
        <f t="shared" si="12"/>
        <v>0</v>
      </c>
      <c r="T12" s="505" t="str">
        <f t="shared" si="6"/>
        <v>0</v>
      </c>
      <c r="U12" s="505" t="str">
        <f t="shared" si="7"/>
        <v>0</v>
      </c>
      <c r="V12" s="505" t="str">
        <f t="shared" si="8"/>
        <v>0</v>
      </c>
      <c r="W12" s="505">
        <f t="shared" si="9"/>
        <v>0</v>
      </c>
      <c r="Y12" s="505">
        <f t="shared" si="10"/>
        <v>1</v>
      </c>
    </row>
    <row r="13" spans="1:25" s="505" customFormat="1" ht="35.1" customHeight="1" thickBot="1" x14ac:dyDescent="0.4">
      <c r="A13" s="505">
        <v>5</v>
      </c>
      <c r="B13" s="505">
        <v>9</v>
      </c>
      <c r="C13" s="516" t="s">
        <v>20</v>
      </c>
      <c r="D13" s="507">
        <v>1.27</v>
      </c>
      <c r="E13" s="518">
        <v>1.1499999999999999</v>
      </c>
      <c r="F13" s="518">
        <v>0.92</v>
      </c>
      <c r="G13" s="505">
        <f t="shared" si="0"/>
        <v>1</v>
      </c>
      <c r="H13" s="71">
        <v>5886444</v>
      </c>
      <c r="I13" s="71">
        <v>10872992.890000001</v>
      </c>
      <c r="J13" s="505">
        <f t="shared" si="1"/>
        <v>0</v>
      </c>
      <c r="K13" s="509">
        <f t="shared" si="2"/>
        <v>906082.74083333334</v>
      </c>
      <c r="L13" s="515">
        <f t="shared" si="3"/>
        <v>6.4965855045270793</v>
      </c>
      <c r="M13" s="505">
        <f t="shared" si="4"/>
        <v>0</v>
      </c>
      <c r="N13" s="522">
        <f t="shared" si="11"/>
        <v>1</v>
      </c>
      <c r="O13" s="511"/>
      <c r="P13" s="513"/>
      <c r="Q13" s="524">
        <v>1</v>
      </c>
      <c r="R13" s="505" t="str">
        <f t="shared" si="5"/>
        <v>1</v>
      </c>
      <c r="S13" s="505" t="str">
        <f t="shared" si="12"/>
        <v>0</v>
      </c>
      <c r="T13" s="505" t="str">
        <f t="shared" si="6"/>
        <v>0</v>
      </c>
      <c r="U13" s="505" t="str">
        <f t="shared" si="7"/>
        <v>0</v>
      </c>
      <c r="V13" s="505" t="str">
        <f t="shared" si="8"/>
        <v>0</v>
      </c>
      <c r="W13" s="505">
        <f t="shared" si="9"/>
        <v>0</v>
      </c>
      <c r="Y13" s="505">
        <f t="shared" si="10"/>
        <v>1</v>
      </c>
    </row>
    <row r="14" spans="1:25" s="505" customFormat="1" ht="35.1" customHeight="1" thickBot="1" x14ac:dyDescent="0.4">
      <c r="A14" s="505">
        <v>3</v>
      </c>
      <c r="B14" s="505">
        <v>10</v>
      </c>
      <c r="C14" s="516" t="s">
        <v>21</v>
      </c>
      <c r="D14" s="507">
        <v>1.79</v>
      </c>
      <c r="E14" s="518">
        <v>1.56</v>
      </c>
      <c r="F14" s="518">
        <v>1.03</v>
      </c>
      <c r="G14" s="505">
        <f t="shared" si="0"/>
        <v>0</v>
      </c>
      <c r="H14" s="71">
        <v>10005084.26</v>
      </c>
      <c r="I14" s="69">
        <v>10457562.949999999</v>
      </c>
      <c r="J14" s="505">
        <f t="shared" si="1"/>
        <v>0</v>
      </c>
      <c r="K14" s="509">
        <f t="shared" si="2"/>
        <v>871463.5791666666</v>
      </c>
      <c r="L14" s="515">
        <f t="shared" si="3"/>
        <v>11.480783017423768</v>
      </c>
      <c r="M14" s="505">
        <f t="shared" si="4"/>
        <v>0</v>
      </c>
      <c r="N14" s="519">
        <f t="shared" si="11"/>
        <v>0</v>
      </c>
      <c r="O14" s="511"/>
      <c r="P14" s="521"/>
      <c r="Q14" s="524">
        <v>1</v>
      </c>
      <c r="R14" s="505" t="str">
        <f t="shared" si="5"/>
        <v>0</v>
      </c>
      <c r="S14" s="505" t="str">
        <f t="shared" si="12"/>
        <v>0</v>
      </c>
      <c r="T14" s="505" t="str">
        <f t="shared" si="6"/>
        <v>0</v>
      </c>
      <c r="U14" s="505" t="str">
        <f t="shared" si="7"/>
        <v>0</v>
      </c>
      <c r="V14" s="505" t="str">
        <f t="shared" si="8"/>
        <v>0</v>
      </c>
      <c r="W14" s="505">
        <f t="shared" si="9"/>
        <v>0</v>
      </c>
      <c r="Y14" s="505">
        <f t="shared" si="10"/>
        <v>0</v>
      </c>
    </row>
    <row r="15" spans="1:25" s="505" customFormat="1" ht="35.1" customHeight="1" thickBot="1" x14ac:dyDescent="0.4">
      <c r="A15" s="505">
        <v>9</v>
      </c>
      <c r="B15" s="505">
        <v>11</v>
      </c>
      <c r="C15" s="516" t="s">
        <v>22</v>
      </c>
      <c r="D15" s="507">
        <v>1.75</v>
      </c>
      <c r="E15" s="518">
        <v>1.52</v>
      </c>
      <c r="F15" s="518">
        <v>1.1299999999999999</v>
      </c>
      <c r="G15" s="505">
        <f t="shared" si="0"/>
        <v>0</v>
      </c>
      <c r="H15" s="71">
        <v>8811974.3200000003</v>
      </c>
      <c r="I15" s="71">
        <v>10134394.050000001</v>
      </c>
      <c r="J15" s="505">
        <f t="shared" si="1"/>
        <v>0</v>
      </c>
      <c r="K15" s="509">
        <f t="shared" si="2"/>
        <v>844532.83750000002</v>
      </c>
      <c r="L15" s="515">
        <f t="shared" si="3"/>
        <v>10.434140543410191</v>
      </c>
      <c r="M15" s="505">
        <f t="shared" si="4"/>
        <v>0</v>
      </c>
      <c r="N15" s="527">
        <f t="shared" si="11"/>
        <v>0</v>
      </c>
      <c r="O15" s="511"/>
      <c r="P15" s="513"/>
      <c r="Q15" s="528">
        <v>4</v>
      </c>
      <c r="R15" s="505" t="str">
        <f t="shared" si="5"/>
        <v>0</v>
      </c>
      <c r="S15" s="505" t="str">
        <f t="shared" si="12"/>
        <v>0</v>
      </c>
      <c r="T15" s="505" t="str">
        <f t="shared" si="6"/>
        <v>0</v>
      </c>
      <c r="U15" s="505" t="str">
        <f t="shared" si="7"/>
        <v>0</v>
      </c>
      <c r="V15" s="505" t="str">
        <f t="shared" si="8"/>
        <v>0</v>
      </c>
      <c r="W15" s="505">
        <f t="shared" si="9"/>
        <v>0</v>
      </c>
      <c r="Y15" s="505">
        <f t="shared" si="10"/>
        <v>0</v>
      </c>
    </row>
    <row r="16" spans="1:25" s="505" customFormat="1" ht="35.1" customHeight="1" thickBot="1" x14ac:dyDescent="0.4">
      <c r="A16" s="505">
        <v>15</v>
      </c>
      <c r="B16" s="505">
        <v>12</v>
      </c>
      <c r="C16" s="516" t="s">
        <v>23</v>
      </c>
      <c r="D16" s="518">
        <v>2.39</v>
      </c>
      <c r="E16" s="518">
        <v>2.1800000000000002</v>
      </c>
      <c r="F16" s="518">
        <v>1.83</v>
      </c>
      <c r="G16" s="505">
        <f t="shared" si="0"/>
        <v>0</v>
      </c>
      <c r="H16" s="71">
        <v>47597769.390000001</v>
      </c>
      <c r="I16" s="71">
        <v>17514945.170000002</v>
      </c>
      <c r="J16" s="505">
        <f t="shared" si="1"/>
        <v>0</v>
      </c>
      <c r="K16" s="509">
        <f t="shared" si="2"/>
        <v>1459578.7641666669</v>
      </c>
      <c r="L16" s="515">
        <f t="shared" si="3"/>
        <v>32.610620652031415</v>
      </c>
      <c r="M16" s="505">
        <f t="shared" si="4"/>
        <v>0</v>
      </c>
      <c r="N16" s="524">
        <f t="shared" si="11"/>
        <v>0</v>
      </c>
      <c r="O16" s="511"/>
      <c r="P16" s="521"/>
      <c r="Q16" s="524">
        <v>1</v>
      </c>
      <c r="R16" s="505" t="str">
        <f t="shared" si="5"/>
        <v>0</v>
      </c>
      <c r="S16" s="505" t="str">
        <f t="shared" si="12"/>
        <v>0</v>
      </c>
      <c r="T16" s="505" t="str">
        <f t="shared" si="6"/>
        <v>0</v>
      </c>
      <c r="U16" s="505" t="str">
        <f t="shared" si="7"/>
        <v>0</v>
      </c>
      <c r="V16" s="505" t="str">
        <f t="shared" si="8"/>
        <v>0</v>
      </c>
      <c r="W16" s="505">
        <f t="shared" si="9"/>
        <v>0</v>
      </c>
      <c r="Y16" s="505">
        <f t="shared" si="10"/>
        <v>0</v>
      </c>
    </row>
    <row r="17" spans="1:25" s="505" customFormat="1" ht="35.1" customHeight="1" thickBot="1" x14ac:dyDescent="0.4">
      <c r="A17" s="505">
        <v>6</v>
      </c>
      <c r="B17" s="505">
        <v>13</v>
      </c>
      <c r="C17" s="516" t="s">
        <v>24</v>
      </c>
      <c r="D17" s="507">
        <v>1.7</v>
      </c>
      <c r="E17" s="518">
        <v>1.5</v>
      </c>
      <c r="F17" s="518">
        <v>1.19</v>
      </c>
      <c r="G17" s="505">
        <f t="shared" si="0"/>
        <v>0</v>
      </c>
      <c r="H17" s="71">
        <v>4792810.66</v>
      </c>
      <c r="I17" s="69">
        <v>5786812.3899999997</v>
      </c>
      <c r="J17" s="505">
        <f t="shared" si="1"/>
        <v>0</v>
      </c>
      <c r="K17" s="509">
        <f t="shared" si="2"/>
        <v>482234.36583333329</v>
      </c>
      <c r="L17" s="515">
        <f t="shared" si="3"/>
        <v>9.9387579973022078</v>
      </c>
      <c r="M17" s="505">
        <f t="shared" si="4"/>
        <v>0</v>
      </c>
      <c r="N17" s="520">
        <f t="shared" si="11"/>
        <v>0</v>
      </c>
      <c r="O17" s="523"/>
      <c r="P17" s="521"/>
      <c r="Q17" s="524">
        <v>1</v>
      </c>
      <c r="R17" s="505" t="str">
        <f t="shared" si="5"/>
        <v>0</v>
      </c>
      <c r="S17" s="505" t="str">
        <f t="shared" si="12"/>
        <v>0</v>
      </c>
      <c r="T17" s="505" t="str">
        <f t="shared" si="6"/>
        <v>0</v>
      </c>
      <c r="U17" s="505" t="str">
        <f t="shared" si="7"/>
        <v>0</v>
      </c>
      <c r="V17" s="505" t="str">
        <f t="shared" si="8"/>
        <v>0</v>
      </c>
      <c r="W17" s="505">
        <f t="shared" si="9"/>
        <v>0</v>
      </c>
      <c r="Y17" s="505">
        <f t="shared" si="10"/>
        <v>0</v>
      </c>
    </row>
    <row r="18" spans="1:25" s="505" customFormat="1" ht="35.1" customHeight="1" thickBot="1" x14ac:dyDescent="0.4">
      <c r="A18" s="505">
        <v>1</v>
      </c>
      <c r="B18" s="505">
        <v>14</v>
      </c>
      <c r="C18" s="516" t="s">
        <v>25</v>
      </c>
      <c r="D18" s="507">
        <v>1.44</v>
      </c>
      <c r="E18" s="507">
        <v>1.33</v>
      </c>
      <c r="F18" s="507">
        <v>0.87</v>
      </c>
      <c r="G18" s="505">
        <f t="shared" si="0"/>
        <v>1</v>
      </c>
      <c r="H18" s="71">
        <v>8835892.1799999997</v>
      </c>
      <c r="I18" s="69">
        <v>13987918.5</v>
      </c>
      <c r="J18" s="505">
        <f t="shared" si="1"/>
        <v>0</v>
      </c>
      <c r="K18" s="509">
        <f t="shared" si="2"/>
        <v>1165659.875</v>
      </c>
      <c r="L18" s="515">
        <f t="shared" si="3"/>
        <v>7.5801632787608817</v>
      </c>
      <c r="M18" s="505">
        <f t="shared" si="4"/>
        <v>0</v>
      </c>
      <c r="N18" s="630">
        <f t="shared" si="11"/>
        <v>1</v>
      </c>
      <c r="O18" s="511"/>
      <c r="P18" s="513"/>
      <c r="Q18" s="630">
        <v>5</v>
      </c>
      <c r="R18" s="505" t="str">
        <f t="shared" si="5"/>
        <v>1</v>
      </c>
      <c r="S18" s="505" t="str">
        <f t="shared" si="12"/>
        <v>0</v>
      </c>
      <c r="T18" s="505" t="str">
        <f t="shared" si="6"/>
        <v>0</v>
      </c>
      <c r="U18" s="505" t="str">
        <f t="shared" si="7"/>
        <v>0</v>
      </c>
      <c r="V18" s="505" t="str">
        <f t="shared" si="8"/>
        <v>0</v>
      </c>
      <c r="W18" s="505">
        <f t="shared" si="9"/>
        <v>0</v>
      </c>
      <c r="Y18" s="505">
        <f t="shared" si="10"/>
        <v>1</v>
      </c>
    </row>
    <row r="19" spans="1:25" s="505" customFormat="1" ht="35.1" customHeight="1" thickBot="1" x14ac:dyDescent="0.4">
      <c r="A19" s="505">
        <v>7</v>
      </c>
      <c r="B19" s="505">
        <v>15</v>
      </c>
      <c r="C19" s="516" t="s">
        <v>26</v>
      </c>
      <c r="D19" s="507">
        <v>1.52</v>
      </c>
      <c r="E19" s="518">
        <v>1.34</v>
      </c>
      <c r="F19" s="518">
        <v>1.08</v>
      </c>
      <c r="G19" s="505">
        <f t="shared" si="0"/>
        <v>0</v>
      </c>
      <c r="H19" s="71">
        <v>6635476.5700000003</v>
      </c>
      <c r="I19" s="71">
        <v>6376101.4699999997</v>
      </c>
      <c r="J19" s="505">
        <f t="shared" si="1"/>
        <v>0</v>
      </c>
      <c r="K19" s="509">
        <f t="shared" si="2"/>
        <v>531341.78916666668</v>
      </c>
      <c r="L19" s="515">
        <f t="shared" si="3"/>
        <v>12.488151139790441</v>
      </c>
      <c r="M19" s="505">
        <f t="shared" si="4"/>
        <v>0</v>
      </c>
      <c r="N19" s="524">
        <f t="shared" si="11"/>
        <v>0</v>
      </c>
      <c r="O19" s="511"/>
      <c r="P19" s="513"/>
      <c r="Q19" s="528">
        <v>4</v>
      </c>
      <c r="R19" s="505" t="str">
        <f t="shared" si="5"/>
        <v>0</v>
      </c>
      <c r="S19" s="505" t="str">
        <f t="shared" si="12"/>
        <v>0</v>
      </c>
      <c r="T19" s="505" t="str">
        <f t="shared" si="6"/>
        <v>0</v>
      </c>
      <c r="U19" s="505" t="str">
        <f t="shared" si="7"/>
        <v>0</v>
      </c>
      <c r="V19" s="505" t="str">
        <f t="shared" si="8"/>
        <v>0</v>
      </c>
      <c r="W19" s="505">
        <f t="shared" si="9"/>
        <v>0</v>
      </c>
      <c r="Y19" s="505">
        <f t="shared" si="10"/>
        <v>0</v>
      </c>
    </row>
    <row r="20" spans="1:25" s="505" customFormat="1" ht="35.1" customHeight="1" thickBot="1" x14ac:dyDescent="0.4">
      <c r="A20" s="505">
        <v>12</v>
      </c>
      <c r="B20" s="505">
        <v>16</v>
      </c>
      <c r="C20" s="506" t="s">
        <v>27</v>
      </c>
      <c r="D20" s="507">
        <v>1.36</v>
      </c>
      <c r="E20" s="518">
        <v>1.21</v>
      </c>
      <c r="F20" s="518">
        <v>0.84</v>
      </c>
      <c r="G20" s="505">
        <f t="shared" si="0"/>
        <v>1</v>
      </c>
      <c r="H20" s="71">
        <v>3065860.09</v>
      </c>
      <c r="I20" s="71">
        <v>8123491.7800000003</v>
      </c>
      <c r="J20" s="505">
        <f t="shared" si="1"/>
        <v>0</v>
      </c>
      <c r="K20" s="509">
        <f t="shared" si="2"/>
        <v>676957.64833333332</v>
      </c>
      <c r="L20" s="515">
        <f t="shared" si="3"/>
        <v>4.5288802003317841</v>
      </c>
      <c r="M20" s="505">
        <f t="shared" si="4"/>
        <v>0</v>
      </c>
      <c r="N20" s="522">
        <f t="shared" si="11"/>
        <v>1</v>
      </c>
      <c r="O20" s="511"/>
      <c r="P20" s="513"/>
      <c r="Q20" s="528">
        <v>4</v>
      </c>
      <c r="R20" s="505" t="str">
        <f t="shared" si="5"/>
        <v>1</v>
      </c>
      <c r="S20" s="505" t="str">
        <f t="shared" si="12"/>
        <v>0</v>
      </c>
      <c r="T20" s="505" t="str">
        <f t="shared" si="6"/>
        <v>0</v>
      </c>
      <c r="U20" s="505" t="str">
        <f t="shared" si="7"/>
        <v>0</v>
      </c>
      <c r="V20" s="505" t="str">
        <f t="shared" si="8"/>
        <v>0</v>
      </c>
      <c r="W20" s="505">
        <f t="shared" si="9"/>
        <v>0</v>
      </c>
      <c r="Y20" s="505">
        <f t="shared" si="10"/>
        <v>1</v>
      </c>
    </row>
    <row r="21" spans="1:25" ht="9" customHeight="1" x14ac:dyDescent="0.25">
      <c r="H21" s="530"/>
      <c r="I21" s="530"/>
      <c r="L21" s="531"/>
      <c r="M21" s="531"/>
      <c r="N21" s="531"/>
    </row>
    <row r="22" spans="1:25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5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60" t="s">
        <v>31</v>
      </c>
      <c r="M23" s="760"/>
      <c r="N23" s="760"/>
    </row>
    <row r="24" spans="1:25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60"/>
      <c r="M24" s="760"/>
      <c r="N24" s="760"/>
    </row>
    <row r="25" spans="1:25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60" t="s">
        <v>31</v>
      </c>
      <c r="M25" s="760"/>
      <c r="N25" s="760"/>
    </row>
    <row r="26" spans="1:25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60"/>
      <c r="M26" s="760"/>
      <c r="N26" s="760"/>
    </row>
    <row r="27" spans="1:25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61" t="s">
        <v>31</v>
      </c>
      <c r="L27" s="761"/>
      <c r="M27" s="625"/>
      <c r="N27" s="625"/>
    </row>
    <row r="28" spans="1:25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5" ht="11.25" customHeight="1" x14ac:dyDescent="0.25">
      <c r="I29" s="534"/>
      <c r="J29" s="534"/>
      <c r="K29" s="549"/>
      <c r="L29" s="550"/>
      <c r="M29" s="550"/>
      <c r="N29" s="550"/>
    </row>
    <row r="30" spans="1:25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60" t="s">
        <v>31</v>
      </c>
      <c r="M30" s="760"/>
      <c r="N30" s="760"/>
    </row>
    <row r="31" spans="1:25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60"/>
      <c r="M31" s="760"/>
      <c r="N31" s="760"/>
    </row>
    <row r="32" spans="1:25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sortState ref="B5:Y20">
    <sortCondition ref="B5:B20"/>
  </sortState>
  <mergeCells count="22"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G3:G4"/>
    <mergeCell ref="H3:H4"/>
    <mergeCell ref="L23:N24"/>
    <mergeCell ref="L25:N26"/>
    <mergeCell ref="K27:L27"/>
    <mergeCell ref="L30:N31"/>
    <mergeCell ref="P2:P4"/>
    <mergeCell ref="O3:O4"/>
  </mergeCells>
  <conditionalFormatting sqref="N5:N2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3"/>
  <sheetViews>
    <sheetView topLeftCell="B1" zoomScale="80" zoomScaleNormal="80" workbookViewId="0">
      <pane xSplit="2" ySplit="4" topLeftCell="E5" activePane="bottomRight" state="frozen"/>
      <selection activeCell="B1" sqref="B1"/>
      <selection pane="topRight" activeCell="D1" sqref="D1"/>
      <selection pane="bottomLeft" activeCell="B5" sqref="B5"/>
      <selection pane="bottomRight" activeCell="I8" sqref="I8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16384" width="9" style="499"/>
  </cols>
  <sheetData>
    <row r="1" spans="1:25" ht="41.25" customHeight="1" thickBot="1" x14ac:dyDescent="0.3">
      <c r="C1" s="733" t="s">
        <v>275</v>
      </c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500"/>
      <c r="P1" s="500"/>
    </row>
    <row r="2" spans="1:25" ht="60.75" customHeight="1" thickBot="1" x14ac:dyDescent="0.3">
      <c r="C2" s="727" t="s">
        <v>1</v>
      </c>
      <c r="D2" s="734" t="s">
        <v>161</v>
      </c>
      <c r="E2" s="734"/>
      <c r="F2" s="734"/>
      <c r="G2" s="734"/>
      <c r="H2" s="735" t="s">
        <v>162</v>
      </c>
      <c r="I2" s="735"/>
      <c r="J2" s="735"/>
      <c r="K2" s="736" t="s">
        <v>163</v>
      </c>
      <c r="L2" s="736"/>
      <c r="M2" s="736"/>
      <c r="N2" s="737" t="s">
        <v>278</v>
      </c>
      <c r="O2" s="501"/>
      <c r="P2" s="762" t="s">
        <v>165</v>
      </c>
      <c r="R2" s="502"/>
    </row>
    <row r="3" spans="1:25" ht="63" customHeight="1" thickBot="1" x14ac:dyDescent="0.3">
      <c r="C3" s="727"/>
      <c r="D3" s="740" t="s">
        <v>2</v>
      </c>
      <c r="E3" s="740" t="s">
        <v>3</v>
      </c>
      <c r="F3" s="740" t="s">
        <v>4</v>
      </c>
      <c r="G3" s="741" t="s">
        <v>166</v>
      </c>
      <c r="H3" s="742" t="s">
        <v>167</v>
      </c>
      <c r="I3" s="727" t="s">
        <v>168</v>
      </c>
      <c r="J3" s="730" t="s">
        <v>166</v>
      </c>
      <c r="K3" s="732" t="s">
        <v>169</v>
      </c>
      <c r="L3" s="727" t="s">
        <v>170</v>
      </c>
      <c r="M3" s="738" t="s">
        <v>166</v>
      </c>
      <c r="N3" s="737"/>
      <c r="O3" s="763" t="s">
        <v>80</v>
      </c>
      <c r="P3" s="762"/>
      <c r="R3" s="502"/>
    </row>
    <row r="4" spans="1:25" ht="86.25" customHeight="1" thickBot="1" x14ac:dyDescent="0.3">
      <c r="C4" s="727"/>
      <c r="D4" s="740"/>
      <c r="E4" s="740"/>
      <c r="F4" s="740"/>
      <c r="G4" s="741"/>
      <c r="H4" s="742"/>
      <c r="I4" s="727"/>
      <c r="J4" s="731"/>
      <c r="K4" s="732"/>
      <c r="L4" s="727"/>
      <c r="M4" s="739"/>
      <c r="N4" s="737"/>
      <c r="O4" s="763"/>
      <c r="P4" s="762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</row>
    <row r="5" spans="1:25" s="505" customFormat="1" ht="35.1" customHeight="1" thickBot="1" x14ac:dyDescent="0.4">
      <c r="A5" s="505">
        <v>13</v>
      </c>
      <c r="B5" s="505">
        <v>1</v>
      </c>
      <c r="C5" s="506" t="s">
        <v>12</v>
      </c>
      <c r="D5" s="518"/>
      <c r="E5" s="518"/>
      <c r="F5" s="518"/>
      <c r="G5" s="636">
        <f t="shared" ref="G5:G19" si="0">(IF(D5&lt;1.5,1,0))+(IF(E5&lt;1,1,0))+(IF(F5&lt;0.8,1,0))</f>
        <v>3</v>
      </c>
      <c r="H5" s="633"/>
      <c r="I5" s="633"/>
      <c r="J5" s="549">
        <f t="shared" ref="J5:J20" si="1">IF(I5&lt;0,1,0)+IF(H5&lt;0,1,0)</f>
        <v>0</v>
      </c>
      <c r="K5" s="509">
        <f>SUM(I5/3)</f>
        <v>0</v>
      </c>
      <c r="L5" s="515" t="e">
        <f t="shared" ref="L5:L20" si="2">H5/K5</f>
        <v>#DIV/0!</v>
      </c>
      <c r="M5" s="549">
        <f t="shared" ref="M5:M20" si="3">IF(I5&lt;0,IF((H5/-(I5/12))&lt;3,2,IF((H5/(-I5/12))&lt;6,1,0)),0)</f>
        <v>0</v>
      </c>
      <c r="N5" s="514">
        <f>+Y5</f>
        <v>3</v>
      </c>
      <c r="O5" s="514"/>
      <c r="P5" s="521"/>
      <c r="Q5" s="514">
        <v>0</v>
      </c>
      <c r="R5" s="505" t="str">
        <f t="shared" ref="R5:R20" si="4">IF(D5&lt;1.5,"1",IF(D5&gt;=1.5,"0"))</f>
        <v>1</v>
      </c>
      <c r="S5" s="505" t="str">
        <f>IF(E5&lt;=1,"1",IF(E5&gt;1,"0"))</f>
        <v>1</v>
      </c>
      <c r="T5" s="505" t="str">
        <f t="shared" ref="T5:T18" si="5">IF(F5&lt;0.8,"1",IF(F5&gt;=0.8,"0"))</f>
        <v>1</v>
      </c>
      <c r="U5" s="505" t="str">
        <f t="shared" ref="U5:V20" si="6">IF(H5&lt;0,"1",IF(H5&gt;=0,"0"))</f>
        <v>0</v>
      </c>
      <c r="V5" s="505" t="str">
        <f t="shared" si="6"/>
        <v>0</v>
      </c>
      <c r="W5" s="505">
        <f t="shared" ref="W5:W20" si="7">IF(I5&lt;0,IF((H5/-(I5/12))&lt;3,2,IF((H5/(-I5/12))&lt;6,1,0)),0)</f>
        <v>0</v>
      </c>
      <c r="Y5" s="505">
        <f t="shared" ref="Y5:Y20" si="8">+R5+S5+T5+U5+V5+W5</f>
        <v>3</v>
      </c>
    </row>
    <row r="6" spans="1:25" s="505" customFormat="1" ht="35.1" customHeight="1" thickBot="1" x14ac:dyDescent="0.4">
      <c r="A6" s="505">
        <v>2</v>
      </c>
      <c r="B6" s="505">
        <v>2</v>
      </c>
      <c r="C6" s="506" t="s">
        <v>13</v>
      </c>
      <c r="D6" s="75">
        <v>1.26</v>
      </c>
      <c r="E6" s="631">
        <v>1.08</v>
      </c>
      <c r="F6" s="75">
        <v>0.55000000000000004</v>
      </c>
      <c r="G6" s="636">
        <f t="shared" si="0"/>
        <v>2</v>
      </c>
      <c r="H6" s="633">
        <v>24257262.57</v>
      </c>
      <c r="I6" s="633">
        <v>18068445.120000001</v>
      </c>
      <c r="J6" s="549">
        <f t="shared" si="1"/>
        <v>0</v>
      </c>
      <c r="K6" s="509">
        <f t="shared" ref="K6:K20" si="9">SUM(I6/3)</f>
        <v>6022815.04</v>
      </c>
      <c r="L6" s="515">
        <f t="shared" si="2"/>
        <v>4.0275622626458736</v>
      </c>
      <c r="M6" s="549">
        <f t="shared" si="3"/>
        <v>0</v>
      </c>
      <c r="N6" s="512">
        <f>+G6+J6+M6</f>
        <v>2</v>
      </c>
      <c r="O6" s="511"/>
      <c r="P6" s="513"/>
      <c r="Q6" s="514">
        <v>0</v>
      </c>
      <c r="R6" s="505" t="str">
        <f t="shared" si="4"/>
        <v>1</v>
      </c>
      <c r="S6" s="505" t="str">
        <f>IF(E6&lt;=1,"1",IF(E6&gt;1,"0"))</f>
        <v>0</v>
      </c>
      <c r="T6" s="505" t="str">
        <f t="shared" si="5"/>
        <v>1</v>
      </c>
      <c r="U6" s="505" t="str">
        <f t="shared" si="6"/>
        <v>0</v>
      </c>
      <c r="V6" s="505" t="str">
        <f t="shared" si="6"/>
        <v>0</v>
      </c>
      <c r="W6" s="505">
        <f t="shared" si="7"/>
        <v>0</v>
      </c>
      <c r="Y6" s="505">
        <f t="shared" si="8"/>
        <v>2</v>
      </c>
    </row>
    <row r="7" spans="1:25" s="505" customFormat="1" ht="35.1" customHeight="1" thickBot="1" x14ac:dyDescent="0.4">
      <c r="A7" s="505">
        <v>8</v>
      </c>
      <c r="B7" s="505">
        <v>3</v>
      </c>
      <c r="C7" s="506" t="s">
        <v>14</v>
      </c>
      <c r="D7" s="75">
        <v>1.49</v>
      </c>
      <c r="E7" s="631">
        <v>1.34</v>
      </c>
      <c r="F7" s="631">
        <v>1.07</v>
      </c>
      <c r="G7" s="636">
        <f t="shared" si="0"/>
        <v>1</v>
      </c>
      <c r="H7" s="633">
        <v>17801006.73</v>
      </c>
      <c r="I7" s="633">
        <v>3503374.14</v>
      </c>
      <c r="J7" s="549">
        <f t="shared" si="1"/>
        <v>0</v>
      </c>
      <c r="K7" s="509">
        <f t="shared" si="9"/>
        <v>1167791.3800000001</v>
      </c>
      <c r="L7" s="515">
        <f t="shared" si="2"/>
        <v>15.243310607413456</v>
      </c>
      <c r="M7" s="549">
        <f t="shared" si="3"/>
        <v>0</v>
      </c>
      <c r="N7" s="522">
        <f t="shared" ref="N7:N20" si="10">+Y7</f>
        <v>1</v>
      </c>
      <c r="O7" s="511"/>
      <c r="P7" s="513"/>
      <c r="Q7" s="522">
        <v>1</v>
      </c>
      <c r="R7" s="505" t="str">
        <f t="shared" si="4"/>
        <v>1</v>
      </c>
      <c r="S7" s="526" t="str">
        <f>IF(E7&lt;1,"1",IF(E7&gt;=1,"0"))</f>
        <v>0</v>
      </c>
      <c r="T7" s="505" t="str">
        <f t="shared" si="5"/>
        <v>0</v>
      </c>
      <c r="U7" s="505" t="str">
        <f t="shared" si="6"/>
        <v>0</v>
      </c>
      <c r="V7" s="505" t="str">
        <f t="shared" si="6"/>
        <v>0</v>
      </c>
      <c r="W7" s="505">
        <f t="shared" si="7"/>
        <v>0</v>
      </c>
      <c r="Y7" s="505">
        <f t="shared" si="8"/>
        <v>1</v>
      </c>
    </row>
    <row r="8" spans="1:25" s="505" customFormat="1" ht="35.1" customHeight="1" thickBot="1" x14ac:dyDescent="0.4">
      <c r="A8" s="505">
        <v>16</v>
      </c>
      <c r="B8" s="505">
        <v>4</v>
      </c>
      <c r="C8" s="506" t="s">
        <v>15</v>
      </c>
      <c r="D8" s="631">
        <v>1.65</v>
      </c>
      <c r="E8" s="631">
        <v>1.54</v>
      </c>
      <c r="F8" s="631">
        <v>1.1499999999999999</v>
      </c>
      <c r="G8" s="636">
        <f t="shared" si="0"/>
        <v>0</v>
      </c>
      <c r="H8" s="633">
        <v>10859095.529999999</v>
      </c>
      <c r="I8" s="633">
        <v>4257487.7699999996</v>
      </c>
      <c r="J8" s="549">
        <f t="shared" si="1"/>
        <v>0</v>
      </c>
      <c r="K8" s="509">
        <f t="shared" si="9"/>
        <v>1419162.5899999999</v>
      </c>
      <c r="L8" s="515">
        <f t="shared" si="2"/>
        <v>7.6517628117578838</v>
      </c>
      <c r="M8" s="549">
        <f t="shared" si="3"/>
        <v>0</v>
      </c>
      <c r="N8" s="519">
        <f t="shared" si="10"/>
        <v>0</v>
      </c>
      <c r="O8" s="511"/>
      <c r="P8" s="513"/>
      <c r="Q8" s="520">
        <v>2</v>
      </c>
      <c r="R8" s="505" t="str">
        <f t="shared" si="4"/>
        <v>0</v>
      </c>
      <c r="S8" s="505" t="str">
        <f t="shared" ref="S8:S20" si="11">IF(E8&lt;=1,"1",IF(E8&gt;1,"0"))</f>
        <v>0</v>
      </c>
      <c r="T8" s="505" t="str">
        <f t="shared" si="5"/>
        <v>0</v>
      </c>
      <c r="U8" s="505" t="str">
        <f t="shared" si="6"/>
        <v>0</v>
      </c>
      <c r="V8" s="505" t="str">
        <f t="shared" si="6"/>
        <v>0</v>
      </c>
      <c r="W8" s="505">
        <f t="shared" si="7"/>
        <v>0</v>
      </c>
      <c r="Y8" s="505">
        <f t="shared" si="8"/>
        <v>0</v>
      </c>
    </row>
    <row r="9" spans="1:25" s="505" customFormat="1" ht="35.1" customHeight="1" thickBot="1" x14ac:dyDescent="0.4">
      <c r="A9" s="505">
        <v>14</v>
      </c>
      <c r="B9" s="505">
        <v>5</v>
      </c>
      <c r="C9" s="506" t="s">
        <v>16</v>
      </c>
      <c r="D9" s="631">
        <v>2.46</v>
      </c>
      <c r="E9" s="631">
        <v>2.16</v>
      </c>
      <c r="F9" s="631">
        <v>1.71</v>
      </c>
      <c r="G9" s="636">
        <f t="shared" si="0"/>
        <v>0</v>
      </c>
      <c r="H9" s="633">
        <v>20309899.41</v>
      </c>
      <c r="I9" s="633">
        <v>11187259.619999999</v>
      </c>
      <c r="J9" s="549">
        <f t="shared" si="1"/>
        <v>0</v>
      </c>
      <c r="K9" s="509">
        <f t="shared" si="9"/>
        <v>3729086.5399999996</v>
      </c>
      <c r="L9" s="515">
        <f t="shared" si="2"/>
        <v>5.44634703221449</v>
      </c>
      <c r="M9" s="549">
        <f t="shared" si="3"/>
        <v>0</v>
      </c>
      <c r="N9" s="522">
        <f t="shared" si="10"/>
        <v>0</v>
      </c>
      <c r="O9" s="511"/>
      <c r="P9" s="513"/>
      <c r="Q9" s="522">
        <v>1</v>
      </c>
      <c r="R9" s="505" t="str">
        <f t="shared" si="4"/>
        <v>0</v>
      </c>
      <c r="S9" s="505" t="str">
        <f t="shared" si="11"/>
        <v>0</v>
      </c>
      <c r="T9" s="505" t="str">
        <f t="shared" si="5"/>
        <v>0</v>
      </c>
      <c r="U9" s="505" t="str">
        <f t="shared" si="6"/>
        <v>0</v>
      </c>
      <c r="V9" s="505" t="str">
        <f t="shared" si="6"/>
        <v>0</v>
      </c>
      <c r="W9" s="505">
        <f t="shared" si="7"/>
        <v>0</v>
      </c>
      <c r="Y9" s="505">
        <f t="shared" si="8"/>
        <v>0</v>
      </c>
    </row>
    <row r="10" spans="1:25" s="505" customFormat="1" ht="35.1" customHeight="1" thickBot="1" x14ac:dyDescent="0.4">
      <c r="A10" s="505">
        <v>10</v>
      </c>
      <c r="B10" s="505">
        <v>6</v>
      </c>
      <c r="C10" s="516" t="s">
        <v>17</v>
      </c>
      <c r="D10" s="631">
        <v>1.53</v>
      </c>
      <c r="E10" s="631">
        <v>1.37</v>
      </c>
      <c r="F10" s="631">
        <v>1.2</v>
      </c>
      <c r="G10" s="636">
        <f t="shared" si="0"/>
        <v>0</v>
      </c>
      <c r="H10" s="633">
        <v>8216823.7999999998</v>
      </c>
      <c r="I10" s="635">
        <v>-86800.56</v>
      </c>
      <c r="J10" s="632">
        <f t="shared" si="1"/>
        <v>1</v>
      </c>
      <c r="K10" s="509">
        <f t="shared" si="9"/>
        <v>-28933.52</v>
      </c>
      <c r="L10" s="515">
        <f t="shared" si="2"/>
        <v>-283.98977379869439</v>
      </c>
      <c r="M10" s="549">
        <f t="shared" si="3"/>
        <v>0</v>
      </c>
      <c r="N10" s="519">
        <f t="shared" si="10"/>
        <v>1</v>
      </c>
      <c r="O10" s="511"/>
      <c r="P10" s="513"/>
      <c r="Q10" s="520">
        <v>2</v>
      </c>
      <c r="R10" s="505" t="str">
        <f t="shared" si="4"/>
        <v>0</v>
      </c>
      <c r="S10" s="505" t="str">
        <f t="shared" si="11"/>
        <v>0</v>
      </c>
      <c r="T10" s="505" t="str">
        <f t="shared" si="5"/>
        <v>0</v>
      </c>
      <c r="U10" s="505" t="str">
        <f t="shared" si="6"/>
        <v>0</v>
      </c>
      <c r="V10" s="505" t="str">
        <f t="shared" si="6"/>
        <v>1</v>
      </c>
      <c r="W10" s="505">
        <f t="shared" si="7"/>
        <v>0</v>
      </c>
      <c r="Y10" s="505">
        <f t="shared" si="8"/>
        <v>1</v>
      </c>
    </row>
    <row r="11" spans="1:25" s="505" customFormat="1" ht="35.1" customHeight="1" thickBot="1" x14ac:dyDescent="0.4">
      <c r="A11" s="505">
        <v>11</v>
      </c>
      <c r="B11" s="505">
        <v>7</v>
      </c>
      <c r="C11" s="516" t="s">
        <v>18</v>
      </c>
      <c r="D11" s="631">
        <v>2.34</v>
      </c>
      <c r="E11" s="631">
        <v>2.1</v>
      </c>
      <c r="F11" s="631">
        <v>1.4</v>
      </c>
      <c r="G11" s="636">
        <f t="shared" si="0"/>
        <v>0</v>
      </c>
      <c r="H11" s="633">
        <v>44154647.609999999</v>
      </c>
      <c r="I11" s="635">
        <v>17354555.579999998</v>
      </c>
      <c r="J11" s="549">
        <f t="shared" si="1"/>
        <v>0</v>
      </c>
      <c r="K11" s="509">
        <f t="shared" si="9"/>
        <v>5784851.8599999994</v>
      </c>
      <c r="L11" s="515">
        <f t="shared" si="2"/>
        <v>7.6328052435209646</v>
      </c>
      <c r="M11" s="549">
        <f t="shared" si="3"/>
        <v>0</v>
      </c>
      <c r="N11" s="514">
        <f t="shared" si="10"/>
        <v>0</v>
      </c>
      <c r="O11" s="514"/>
      <c r="P11" s="521"/>
      <c r="Q11" s="529">
        <v>0</v>
      </c>
      <c r="R11" s="505" t="str">
        <f t="shared" si="4"/>
        <v>0</v>
      </c>
      <c r="S11" s="505" t="str">
        <f t="shared" si="11"/>
        <v>0</v>
      </c>
      <c r="T11" s="505" t="str">
        <f t="shared" si="5"/>
        <v>0</v>
      </c>
      <c r="U11" s="505" t="str">
        <f t="shared" si="6"/>
        <v>0</v>
      </c>
      <c r="V11" s="505" t="str">
        <f t="shared" si="6"/>
        <v>0</v>
      </c>
      <c r="W11" s="505">
        <f t="shared" si="7"/>
        <v>0</v>
      </c>
      <c r="Y11" s="505">
        <f t="shared" si="8"/>
        <v>0</v>
      </c>
    </row>
    <row r="12" spans="1:25" s="505" customFormat="1" ht="35.1" customHeight="1" thickBot="1" x14ac:dyDescent="0.4">
      <c r="A12" s="505">
        <v>4</v>
      </c>
      <c r="B12" s="505">
        <v>8</v>
      </c>
      <c r="C12" s="516" t="s">
        <v>19</v>
      </c>
      <c r="D12" s="75">
        <v>1.26</v>
      </c>
      <c r="E12" s="631">
        <v>1.07</v>
      </c>
      <c r="F12" s="75">
        <v>0.74</v>
      </c>
      <c r="G12" s="637">
        <f t="shared" si="0"/>
        <v>2</v>
      </c>
      <c r="H12" s="633">
        <v>6183881.3099999996</v>
      </c>
      <c r="I12" s="635">
        <v>8548555.4399999995</v>
      </c>
      <c r="J12" s="549">
        <f t="shared" si="1"/>
        <v>0</v>
      </c>
      <c r="K12" s="509">
        <f t="shared" si="9"/>
        <v>2849518.48</v>
      </c>
      <c r="L12" s="515">
        <f t="shared" si="2"/>
        <v>2.1701495720778761</v>
      </c>
      <c r="M12" s="549">
        <f t="shared" si="3"/>
        <v>0</v>
      </c>
      <c r="N12" s="512">
        <f t="shared" si="10"/>
        <v>2</v>
      </c>
      <c r="O12" s="511"/>
      <c r="P12" s="513"/>
      <c r="Q12" s="512">
        <v>4</v>
      </c>
      <c r="R12" s="505" t="str">
        <f t="shared" si="4"/>
        <v>1</v>
      </c>
      <c r="S12" s="505" t="str">
        <f t="shared" si="11"/>
        <v>0</v>
      </c>
      <c r="T12" s="505" t="str">
        <f t="shared" si="5"/>
        <v>1</v>
      </c>
      <c r="U12" s="505" t="str">
        <f t="shared" si="6"/>
        <v>0</v>
      </c>
      <c r="V12" s="505" t="str">
        <f t="shared" si="6"/>
        <v>0</v>
      </c>
      <c r="W12" s="505">
        <f t="shared" si="7"/>
        <v>0</v>
      </c>
      <c r="Y12" s="505">
        <f t="shared" si="8"/>
        <v>2</v>
      </c>
    </row>
    <row r="13" spans="1:25" s="505" customFormat="1" ht="35.1" customHeight="1" thickBot="1" x14ac:dyDescent="0.4">
      <c r="A13" s="505">
        <v>5</v>
      </c>
      <c r="B13" s="505">
        <v>9</v>
      </c>
      <c r="C13" s="516" t="s">
        <v>20</v>
      </c>
      <c r="D13" s="75">
        <v>1.23</v>
      </c>
      <c r="E13" s="631">
        <v>1.1100000000000001</v>
      </c>
      <c r="F13" s="631">
        <v>0.91</v>
      </c>
      <c r="G13" s="637">
        <f t="shared" si="0"/>
        <v>1</v>
      </c>
      <c r="H13" s="633">
        <v>5325005.12</v>
      </c>
      <c r="I13" s="635">
        <v>5621213.5599999996</v>
      </c>
      <c r="J13" s="549">
        <f t="shared" si="1"/>
        <v>0</v>
      </c>
      <c r="K13" s="509">
        <f t="shared" si="9"/>
        <v>1873737.8533333333</v>
      </c>
      <c r="L13" s="515">
        <f t="shared" si="2"/>
        <v>2.8419157517295965</v>
      </c>
      <c r="M13" s="549">
        <f t="shared" si="3"/>
        <v>0</v>
      </c>
      <c r="N13" s="522">
        <f t="shared" si="10"/>
        <v>1</v>
      </c>
      <c r="O13" s="511"/>
      <c r="P13" s="513"/>
      <c r="Q13" s="524">
        <v>1</v>
      </c>
      <c r="R13" s="505" t="str">
        <f t="shared" si="4"/>
        <v>1</v>
      </c>
      <c r="S13" s="505" t="str">
        <f t="shared" si="11"/>
        <v>0</v>
      </c>
      <c r="T13" s="505" t="str">
        <f t="shared" si="5"/>
        <v>0</v>
      </c>
      <c r="U13" s="505" t="str">
        <f t="shared" si="6"/>
        <v>0</v>
      </c>
      <c r="V13" s="505" t="str">
        <f t="shared" si="6"/>
        <v>0</v>
      </c>
      <c r="W13" s="505">
        <f t="shared" si="7"/>
        <v>0</v>
      </c>
      <c r="Y13" s="505">
        <f t="shared" si="8"/>
        <v>1</v>
      </c>
    </row>
    <row r="14" spans="1:25" s="505" customFormat="1" ht="35.1" customHeight="1" thickBot="1" x14ac:dyDescent="0.4">
      <c r="A14" s="505">
        <v>3</v>
      </c>
      <c r="B14" s="505">
        <v>10</v>
      </c>
      <c r="C14" s="516" t="s">
        <v>21</v>
      </c>
      <c r="D14" s="631">
        <v>1.66</v>
      </c>
      <c r="E14" s="631">
        <v>1.44</v>
      </c>
      <c r="F14" s="631">
        <v>0.92</v>
      </c>
      <c r="G14" s="636">
        <f t="shared" si="0"/>
        <v>0</v>
      </c>
      <c r="H14" s="633">
        <v>8768286.9499999993</v>
      </c>
      <c r="I14" s="635">
        <v>6116759.8700000001</v>
      </c>
      <c r="J14" s="549">
        <f t="shared" si="1"/>
        <v>0</v>
      </c>
      <c r="K14" s="509">
        <f t="shared" si="9"/>
        <v>2038919.9566666668</v>
      </c>
      <c r="L14" s="515">
        <f t="shared" si="2"/>
        <v>4.3004566811611644</v>
      </c>
      <c r="M14" s="549">
        <f t="shared" si="3"/>
        <v>0</v>
      </c>
      <c r="N14" s="519">
        <f t="shared" si="10"/>
        <v>0</v>
      </c>
      <c r="O14" s="511"/>
      <c r="P14" s="521"/>
      <c r="Q14" s="524">
        <v>1</v>
      </c>
      <c r="R14" s="505" t="str">
        <f t="shared" si="4"/>
        <v>0</v>
      </c>
      <c r="S14" s="505" t="str">
        <f t="shared" si="11"/>
        <v>0</v>
      </c>
      <c r="T14" s="505" t="str">
        <f t="shared" si="5"/>
        <v>0</v>
      </c>
      <c r="U14" s="505" t="str">
        <f t="shared" si="6"/>
        <v>0</v>
      </c>
      <c r="V14" s="505" t="str">
        <f t="shared" si="6"/>
        <v>0</v>
      </c>
      <c r="W14" s="505">
        <f t="shared" si="7"/>
        <v>0</v>
      </c>
      <c r="Y14" s="505">
        <f t="shared" si="8"/>
        <v>0</v>
      </c>
    </row>
    <row r="15" spans="1:25" s="505" customFormat="1" ht="35.1" customHeight="1" thickBot="1" x14ac:dyDescent="0.4">
      <c r="A15" s="505">
        <v>9</v>
      </c>
      <c r="B15" s="505">
        <v>11</v>
      </c>
      <c r="C15" s="516" t="s">
        <v>22</v>
      </c>
      <c r="D15" s="631">
        <v>1.96</v>
      </c>
      <c r="E15" s="631">
        <v>1.73</v>
      </c>
      <c r="F15" s="631">
        <v>1.08</v>
      </c>
      <c r="G15" s="636">
        <f t="shared" si="0"/>
        <v>0</v>
      </c>
      <c r="H15" s="633">
        <v>10722602.41</v>
      </c>
      <c r="I15" s="635">
        <v>9314396.0899999999</v>
      </c>
      <c r="J15" s="549">
        <f t="shared" si="1"/>
        <v>0</v>
      </c>
      <c r="K15" s="509">
        <f t="shared" si="9"/>
        <v>3104798.6966666668</v>
      </c>
      <c r="L15" s="515">
        <f t="shared" si="2"/>
        <v>3.4535580105440844</v>
      </c>
      <c r="M15" s="549">
        <f t="shared" si="3"/>
        <v>0</v>
      </c>
      <c r="N15" s="527">
        <f t="shared" si="10"/>
        <v>0</v>
      </c>
      <c r="O15" s="511"/>
      <c r="P15" s="513"/>
      <c r="Q15" s="528">
        <v>4</v>
      </c>
      <c r="R15" s="505" t="str">
        <f t="shared" si="4"/>
        <v>0</v>
      </c>
      <c r="S15" s="505" t="str">
        <f t="shared" si="11"/>
        <v>0</v>
      </c>
      <c r="T15" s="505" t="str">
        <f t="shared" si="5"/>
        <v>0</v>
      </c>
      <c r="U15" s="505" t="str">
        <f t="shared" si="6"/>
        <v>0</v>
      </c>
      <c r="V15" s="505" t="str">
        <f t="shared" si="6"/>
        <v>0</v>
      </c>
      <c r="W15" s="505">
        <f t="shared" si="7"/>
        <v>0</v>
      </c>
      <c r="Y15" s="505">
        <f t="shared" si="8"/>
        <v>0</v>
      </c>
    </row>
    <row r="16" spans="1:25" s="505" customFormat="1" ht="35.1" customHeight="1" thickBot="1" x14ac:dyDescent="0.4">
      <c r="A16" s="505">
        <v>15</v>
      </c>
      <c r="B16" s="505">
        <v>12</v>
      </c>
      <c r="C16" s="516" t="s">
        <v>23</v>
      </c>
      <c r="D16" s="631">
        <v>1.91</v>
      </c>
      <c r="E16" s="631">
        <v>1.77</v>
      </c>
      <c r="F16" s="631">
        <v>1.5</v>
      </c>
      <c r="G16" s="636">
        <f t="shared" si="0"/>
        <v>0</v>
      </c>
      <c r="H16" s="633">
        <v>38657264.549999997</v>
      </c>
      <c r="I16" s="635">
        <v>14073264.550000001</v>
      </c>
      <c r="J16" s="549">
        <f t="shared" si="1"/>
        <v>0</v>
      </c>
      <c r="K16" s="509">
        <f t="shared" si="9"/>
        <v>4691088.1833333336</v>
      </c>
      <c r="L16" s="515">
        <f t="shared" si="2"/>
        <v>8.240575115885246</v>
      </c>
      <c r="M16" s="549">
        <f t="shared" si="3"/>
        <v>0</v>
      </c>
      <c r="N16" s="524">
        <f t="shared" si="10"/>
        <v>0</v>
      </c>
      <c r="O16" s="511"/>
      <c r="P16" s="521"/>
      <c r="Q16" s="524">
        <v>1</v>
      </c>
      <c r="R16" s="505" t="str">
        <f t="shared" si="4"/>
        <v>0</v>
      </c>
      <c r="S16" s="505" t="str">
        <f t="shared" si="11"/>
        <v>0</v>
      </c>
      <c r="T16" s="505" t="str">
        <f t="shared" si="5"/>
        <v>0</v>
      </c>
      <c r="U16" s="505" t="str">
        <f t="shared" si="6"/>
        <v>0</v>
      </c>
      <c r="V16" s="505" t="str">
        <f t="shared" si="6"/>
        <v>0</v>
      </c>
      <c r="W16" s="505">
        <f t="shared" si="7"/>
        <v>0</v>
      </c>
      <c r="Y16" s="505">
        <f t="shared" si="8"/>
        <v>0</v>
      </c>
    </row>
    <row r="17" spans="1:25" s="505" customFormat="1" ht="35.1" customHeight="1" thickBot="1" x14ac:dyDescent="0.4">
      <c r="A17" s="505">
        <v>6</v>
      </c>
      <c r="B17" s="505">
        <v>13</v>
      </c>
      <c r="C17" s="516" t="s">
        <v>24</v>
      </c>
      <c r="D17" s="631">
        <v>1.74</v>
      </c>
      <c r="E17" s="631">
        <v>1.53</v>
      </c>
      <c r="F17" s="631">
        <v>1.19</v>
      </c>
      <c r="G17" s="636">
        <f t="shared" si="0"/>
        <v>0</v>
      </c>
      <c r="H17" s="633">
        <v>4930233.74</v>
      </c>
      <c r="I17" s="635">
        <v>-524125.93</v>
      </c>
      <c r="J17" s="632">
        <f t="shared" si="1"/>
        <v>1</v>
      </c>
      <c r="K17" s="509">
        <f t="shared" si="9"/>
        <v>-174708.64333333334</v>
      </c>
      <c r="L17" s="515">
        <f t="shared" si="2"/>
        <v>-28.219747151223753</v>
      </c>
      <c r="M17" s="549">
        <f t="shared" si="3"/>
        <v>0</v>
      </c>
      <c r="N17" s="520">
        <f t="shared" si="10"/>
        <v>1</v>
      </c>
      <c r="O17" s="523"/>
      <c r="P17" s="521"/>
      <c r="Q17" s="524">
        <v>1</v>
      </c>
      <c r="R17" s="505" t="str">
        <f t="shared" si="4"/>
        <v>0</v>
      </c>
      <c r="S17" s="505" t="str">
        <f t="shared" si="11"/>
        <v>0</v>
      </c>
      <c r="T17" s="505" t="str">
        <f t="shared" si="5"/>
        <v>0</v>
      </c>
      <c r="U17" s="505" t="str">
        <f t="shared" si="6"/>
        <v>0</v>
      </c>
      <c r="V17" s="505" t="str">
        <f t="shared" si="6"/>
        <v>1</v>
      </c>
      <c r="W17" s="505">
        <f t="shared" si="7"/>
        <v>0</v>
      </c>
      <c r="Y17" s="505">
        <f t="shared" si="8"/>
        <v>1</v>
      </c>
    </row>
    <row r="18" spans="1:25" s="505" customFormat="1" ht="35.1" customHeight="1" thickBot="1" x14ac:dyDescent="0.4">
      <c r="A18" s="505">
        <v>1</v>
      </c>
      <c r="B18" s="505">
        <v>14</v>
      </c>
      <c r="C18" s="516" t="s">
        <v>25</v>
      </c>
      <c r="D18" s="75">
        <v>1.48</v>
      </c>
      <c r="E18" s="631">
        <v>1.37</v>
      </c>
      <c r="F18" s="631">
        <v>0.96</v>
      </c>
      <c r="G18" s="637">
        <f t="shared" si="0"/>
        <v>1</v>
      </c>
      <c r="H18" s="633">
        <v>9422888.8499999996</v>
      </c>
      <c r="I18" s="633">
        <v>22053857.780000001</v>
      </c>
      <c r="J18" s="549">
        <f t="shared" si="1"/>
        <v>0</v>
      </c>
      <c r="K18" s="509">
        <f t="shared" si="9"/>
        <v>7351285.9266666668</v>
      </c>
      <c r="L18" s="515">
        <f t="shared" si="2"/>
        <v>1.2818014350140603</v>
      </c>
      <c r="M18" s="549">
        <f t="shared" si="3"/>
        <v>0</v>
      </c>
      <c r="N18" s="630">
        <f t="shared" si="10"/>
        <v>1</v>
      </c>
      <c r="O18" s="511"/>
      <c r="P18" s="513"/>
      <c r="Q18" s="630">
        <v>5</v>
      </c>
      <c r="R18" s="505" t="str">
        <f t="shared" si="4"/>
        <v>1</v>
      </c>
      <c r="S18" s="505" t="str">
        <f t="shared" si="11"/>
        <v>0</v>
      </c>
      <c r="T18" s="505" t="str">
        <f t="shared" si="5"/>
        <v>0</v>
      </c>
      <c r="U18" s="505" t="str">
        <f t="shared" si="6"/>
        <v>0</v>
      </c>
      <c r="V18" s="505" t="str">
        <f t="shared" si="6"/>
        <v>0</v>
      </c>
      <c r="W18" s="505">
        <f t="shared" si="7"/>
        <v>0</v>
      </c>
      <c r="Y18" s="505">
        <f t="shared" si="8"/>
        <v>1</v>
      </c>
    </row>
    <row r="19" spans="1:25" s="505" customFormat="1" ht="35.1" customHeight="1" thickBot="1" x14ac:dyDescent="0.4">
      <c r="A19" s="505">
        <v>7</v>
      </c>
      <c r="B19" s="505">
        <v>15</v>
      </c>
      <c r="C19" s="516" t="s">
        <v>26</v>
      </c>
      <c r="D19" s="631">
        <v>1.54</v>
      </c>
      <c r="E19" s="631">
        <v>1.38</v>
      </c>
      <c r="F19" s="631">
        <v>1.1499999999999999</v>
      </c>
      <c r="G19" s="636">
        <f t="shared" si="0"/>
        <v>0</v>
      </c>
      <c r="H19" s="633">
        <v>6984619.9000000004</v>
      </c>
      <c r="I19" s="633">
        <v>1811369.74</v>
      </c>
      <c r="J19" s="549">
        <f t="shared" si="1"/>
        <v>0</v>
      </c>
      <c r="K19" s="509">
        <f t="shared" si="9"/>
        <v>603789.91333333333</v>
      </c>
      <c r="L19" s="515">
        <f t="shared" si="2"/>
        <v>11.567963865842211</v>
      </c>
      <c r="M19" s="549">
        <f t="shared" si="3"/>
        <v>0</v>
      </c>
      <c r="N19" s="524">
        <f t="shared" si="10"/>
        <v>0</v>
      </c>
      <c r="O19" s="511"/>
      <c r="P19" s="513"/>
      <c r="Q19" s="528">
        <v>4</v>
      </c>
      <c r="R19" s="505" t="str">
        <f t="shared" si="4"/>
        <v>0</v>
      </c>
      <c r="S19" s="505" t="str">
        <f t="shared" si="11"/>
        <v>0</v>
      </c>
      <c r="T19" s="505" t="str">
        <f>IF(F19&lt;0.8,"1",IF(F19&gt;=0.8,"0"))</f>
        <v>0</v>
      </c>
      <c r="U19" s="505" t="str">
        <f t="shared" si="6"/>
        <v>0</v>
      </c>
      <c r="V19" s="505" t="str">
        <f t="shared" si="6"/>
        <v>0</v>
      </c>
      <c r="W19" s="505">
        <f t="shared" si="7"/>
        <v>0</v>
      </c>
      <c r="Y19" s="505">
        <f t="shared" si="8"/>
        <v>0</v>
      </c>
    </row>
    <row r="20" spans="1:25" s="505" customFormat="1" ht="35.1" customHeight="1" thickBot="1" x14ac:dyDescent="0.4">
      <c r="A20" s="505">
        <v>12</v>
      </c>
      <c r="B20" s="505">
        <v>16</v>
      </c>
      <c r="C20" s="506" t="s">
        <v>27</v>
      </c>
      <c r="D20" s="75">
        <v>1.33</v>
      </c>
      <c r="E20" s="631">
        <v>1.1599999999999999</v>
      </c>
      <c r="F20" s="75">
        <v>0.8</v>
      </c>
      <c r="G20" s="636">
        <f>(IF(D20&lt;1.5,1,0))+(IF(E20&lt;1,1,0))+(IF(F20&lt;0.8,1,0))</f>
        <v>1</v>
      </c>
      <c r="H20" s="633">
        <v>2651068.5299999998</v>
      </c>
      <c r="I20" s="633">
        <v>1978777.1</v>
      </c>
      <c r="J20" s="549">
        <f t="shared" si="1"/>
        <v>0</v>
      </c>
      <c r="K20" s="509">
        <f t="shared" si="9"/>
        <v>659592.3666666667</v>
      </c>
      <c r="L20" s="515">
        <f t="shared" si="2"/>
        <v>4.0192528961447955</v>
      </c>
      <c r="M20" s="549">
        <f t="shared" si="3"/>
        <v>0</v>
      </c>
      <c r="N20" s="522">
        <f t="shared" si="10"/>
        <v>1</v>
      </c>
      <c r="O20" s="511"/>
      <c r="P20" s="513"/>
      <c r="Q20" s="528">
        <v>4</v>
      </c>
      <c r="R20" s="505" t="str">
        <f t="shared" si="4"/>
        <v>1</v>
      </c>
      <c r="S20" s="505" t="str">
        <f t="shared" si="11"/>
        <v>0</v>
      </c>
      <c r="T20" s="505" t="str">
        <f>IF(F20&lt;0.8,"1",IF(F20&gt;=0.8,"0"))</f>
        <v>0</v>
      </c>
      <c r="U20" s="505" t="str">
        <f t="shared" si="6"/>
        <v>0</v>
      </c>
      <c r="V20" s="505" t="str">
        <f t="shared" si="6"/>
        <v>0</v>
      </c>
      <c r="W20" s="505">
        <f t="shared" si="7"/>
        <v>0</v>
      </c>
      <c r="Y20" s="505">
        <f t="shared" si="8"/>
        <v>1</v>
      </c>
    </row>
    <row r="21" spans="1:25" ht="9" customHeight="1" x14ac:dyDescent="0.25">
      <c r="H21" s="530"/>
      <c r="I21" s="530"/>
      <c r="L21" s="531"/>
      <c r="M21" s="531"/>
      <c r="N21" s="531"/>
    </row>
    <row r="22" spans="1:25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5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60" t="s">
        <v>31</v>
      </c>
      <c r="M23" s="760"/>
      <c r="N23" s="760"/>
    </row>
    <row r="24" spans="1:25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60"/>
      <c r="M24" s="760"/>
      <c r="N24" s="760"/>
    </row>
    <row r="25" spans="1:25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60" t="s">
        <v>31</v>
      </c>
      <c r="M25" s="760"/>
      <c r="N25" s="760"/>
    </row>
    <row r="26" spans="1:25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60"/>
      <c r="M26" s="760"/>
      <c r="N26" s="760"/>
    </row>
    <row r="27" spans="1:25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61" t="s">
        <v>31</v>
      </c>
      <c r="L27" s="761"/>
      <c r="M27" s="629"/>
      <c r="N27" s="629"/>
    </row>
    <row r="28" spans="1:25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5" ht="11.25" customHeight="1" x14ac:dyDescent="0.25">
      <c r="I29" s="534"/>
      <c r="J29" s="534"/>
      <c r="K29" s="549"/>
      <c r="L29" s="550"/>
      <c r="M29" s="550"/>
      <c r="N29" s="550"/>
    </row>
    <row r="30" spans="1:25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60" t="s">
        <v>31</v>
      </c>
      <c r="M30" s="760"/>
      <c r="N30" s="760"/>
    </row>
    <row r="31" spans="1:25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60"/>
      <c r="M31" s="760"/>
      <c r="N31" s="760"/>
    </row>
    <row r="32" spans="1:25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mergeCells count="22">
    <mergeCell ref="L23:N24"/>
    <mergeCell ref="L25:N26"/>
    <mergeCell ref="K27:L27"/>
    <mergeCell ref="L30:N31"/>
    <mergeCell ref="P2:P4"/>
    <mergeCell ref="O3:O4"/>
    <mergeCell ref="D3:D4"/>
    <mergeCell ref="E3:E4"/>
    <mergeCell ref="F3:F4"/>
    <mergeCell ref="G3:G4"/>
    <mergeCell ref="H3:H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</mergeCells>
  <conditionalFormatting sqref="N5:N20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3"/>
  <sheetViews>
    <sheetView tabSelected="1" topLeftCell="B1" zoomScale="70" zoomScaleNormal="70" workbookViewId="0">
      <pane xSplit="2" ySplit="4" topLeftCell="D9" activePane="bottomRight" state="frozen"/>
      <selection activeCell="B1" sqref="B1"/>
      <selection pane="topRight" activeCell="D1" sqref="D1"/>
      <selection pane="bottomLeft" activeCell="B5" sqref="B5"/>
      <selection pane="bottomRight" activeCell="Z21" sqref="Z21"/>
    </sheetView>
  </sheetViews>
  <sheetFormatPr defaultRowHeight="18" x14ac:dyDescent="0.25"/>
  <cols>
    <col min="1" max="1" width="0" style="499" hidden="1" customWidth="1"/>
    <col min="2" max="2" width="9" style="499"/>
    <col min="3" max="3" width="23.375" style="499" customWidth="1"/>
    <col min="4" max="4" width="11.5" style="499" customWidth="1"/>
    <col min="5" max="5" width="8.125" style="499" customWidth="1"/>
    <col min="6" max="6" width="8.25" style="499" customWidth="1"/>
    <col min="7" max="7" width="11" style="499" customWidth="1"/>
    <col min="8" max="8" width="19" style="499" customWidth="1"/>
    <col min="9" max="9" width="17.625" style="499" customWidth="1"/>
    <col min="10" max="10" width="10.375" style="499" customWidth="1"/>
    <col min="11" max="11" width="19.5" style="499" customWidth="1"/>
    <col min="12" max="12" width="15.75" style="499" customWidth="1"/>
    <col min="13" max="13" width="11.75" style="499" customWidth="1"/>
    <col min="14" max="14" width="15.375" style="499" customWidth="1"/>
    <col min="15" max="15" width="11.5" style="499" hidden="1" customWidth="1"/>
    <col min="16" max="16" width="14.75" style="499" hidden="1" customWidth="1"/>
    <col min="17" max="17" width="13.75" style="499" hidden="1" customWidth="1"/>
    <col min="18" max="18" width="2.625" style="499" bestFit="1" customWidth="1"/>
    <col min="19" max="19" width="2.75" style="499" bestFit="1" customWidth="1"/>
    <col min="20" max="20" width="2.5" style="499" bestFit="1" customWidth="1"/>
    <col min="21" max="22" width="2.75" style="499" bestFit="1" customWidth="1"/>
    <col min="23" max="25" width="2.5" style="499" bestFit="1" customWidth="1"/>
    <col min="26" max="26" width="19.25" style="499" bestFit="1" customWidth="1"/>
    <col min="27" max="16384" width="9" style="499"/>
  </cols>
  <sheetData>
    <row r="1" spans="1:26" ht="41.25" customHeight="1" thickBot="1" x14ac:dyDescent="0.3">
      <c r="C1" s="733" t="s">
        <v>276</v>
      </c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500"/>
      <c r="P1" s="500"/>
    </row>
    <row r="2" spans="1:26" ht="60.75" customHeight="1" thickBot="1" x14ac:dyDescent="0.3">
      <c r="C2" s="727" t="s">
        <v>1</v>
      </c>
      <c r="D2" s="734" t="s">
        <v>161</v>
      </c>
      <c r="E2" s="734"/>
      <c r="F2" s="734"/>
      <c r="G2" s="734"/>
      <c r="H2" s="735" t="s">
        <v>162</v>
      </c>
      <c r="I2" s="735"/>
      <c r="J2" s="735"/>
      <c r="K2" s="736" t="s">
        <v>163</v>
      </c>
      <c r="L2" s="736"/>
      <c r="M2" s="736"/>
      <c r="N2" s="737" t="s">
        <v>277</v>
      </c>
      <c r="O2" s="501"/>
      <c r="P2" s="762" t="s">
        <v>165</v>
      </c>
      <c r="R2" s="502"/>
      <c r="Z2" s="764" t="s">
        <v>279</v>
      </c>
    </row>
    <row r="3" spans="1:26" ht="63" customHeight="1" thickBot="1" x14ac:dyDescent="0.3">
      <c r="C3" s="727"/>
      <c r="D3" s="740" t="s">
        <v>2</v>
      </c>
      <c r="E3" s="740" t="s">
        <v>3</v>
      </c>
      <c r="F3" s="740" t="s">
        <v>4</v>
      </c>
      <c r="G3" s="741" t="s">
        <v>166</v>
      </c>
      <c r="H3" s="742" t="s">
        <v>167</v>
      </c>
      <c r="I3" s="727" t="s">
        <v>168</v>
      </c>
      <c r="J3" s="730" t="s">
        <v>166</v>
      </c>
      <c r="K3" s="732" t="s">
        <v>169</v>
      </c>
      <c r="L3" s="727" t="s">
        <v>170</v>
      </c>
      <c r="M3" s="738" t="s">
        <v>166</v>
      </c>
      <c r="N3" s="737"/>
      <c r="O3" s="763" t="s">
        <v>80</v>
      </c>
      <c r="P3" s="762"/>
      <c r="R3" s="502"/>
      <c r="Z3" s="764"/>
    </row>
    <row r="4" spans="1:26" ht="86.25" customHeight="1" thickBot="1" x14ac:dyDescent="0.3">
      <c r="C4" s="727"/>
      <c r="D4" s="740"/>
      <c r="E4" s="740"/>
      <c r="F4" s="740"/>
      <c r="G4" s="741"/>
      <c r="H4" s="742"/>
      <c r="I4" s="727"/>
      <c r="J4" s="731"/>
      <c r="K4" s="732"/>
      <c r="L4" s="727"/>
      <c r="M4" s="739"/>
      <c r="N4" s="737"/>
      <c r="O4" s="763"/>
      <c r="P4" s="762"/>
      <c r="R4" s="503" t="s">
        <v>201</v>
      </c>
      <c r="S4" s="504" t="s">
        <v>202</v>
      </c>
      <c r="T4" s="504" t="s">
        <v>235</v>
      </c>
      <c r="U4" s="504" t="s">
        <v>204</v>
      </c>
      <c r="V4" s="504" t="s">
        <v>267</v>
      </c>
      <c r="W4" s="504" t="s">
        <v>268</v>
      </c>
      <c r="Y4" s="499" t="s">
        <v>205</v>
      </c>
      <c r="Z4" s="764"/>
    </row>
    <row r="5" spans="1:26" s="505" customFormat="1" ht="35.1" customHeight="1" thickBot="1" x14ac:dyDescent="0.4">
      <c r="A5" s="505">
        <v>13</v>
      </c>
      <c r="B5" s="505">
        <v>1</v>
      </c>
      <c r="C5" s="506" t="s">
        <v>12</v>
      </c>
      <c r="D5" s="518">
        <v>5.03</v>
      </c>
      <c r="E5" s="518">
        <v>4.87</v>
      </c>
      <c r="F5" s="518">
        <v>2.54</v>
      </c>
      <c r="G5" s="549">
        <f t="shared" ref="G5:G19" si="0">(IF(D5&lt;1.5,1,0))+(IF(E5&lt;1,1,0))+(IF(F5&lt;0.8,1,0))</f>
        <v>0</v>
      </c>
      <c r="H5" s="71">
        <v>813505739.21000004</v>
      </c>
      <c r="I5" s="71">
        <v>285917137.69999999</v>
      </c>
      <c r="J5" s="549">
        <f t="shared" ref="J5:J20" si="1">IF(I5&lt;0,1,0)+IF(H5&lt;0,1,0)</f>
        <v>0</v>
      </c>
      <c r="K5" s="509">
        <f>SUM(I5/3)</f>
        <v>95305712.566666663</v>
      </c>
      <c r="L5" s="515">
        <f t="shared" ref="L5:L20" si="2">H5/K5</f>
        <v>8.5357500332516807</v>
      </c>
      <c r="M5" s="549">
        <f t="shared" ref="M5:M20" si="3">IF(I5&lt;0,IF((H5/-(I5/12))&lt;3,2,IF((H5/(-I5/12))&lt;6,1,0)),0)</f>
        <v>0</v>
      </c>
      <c r="N5" s="514">
        <f>+Y5</f>
        <v>0</v>
      </c>
      <c r="O5" s="514"/>
      <c r="P5" s="521"/>
      <c r="Q5" s="514">
        <v>0</v>
      </c>
      <c r="R5" s="505" t="str">
        <f t="shared" ref="R5:R20" si="4">IF(D5&lt;1.5,"1",IF(D5&gt;=1.5,"0"))</f>
        <v>0</v>
      </c>
      <c r="S5" s="505" t="str">
        <f>IF(E5&lt;=1,"1",IF(E5&gt;1,"0"))</f>
        <v>0</v>
      </c>
      <c r="T5" s="505" t="str">
        <f t="shared" ref="T5:T18" si="5">IF(F5&lt;0.8,"1",IF(F5&gt;=0.8,"0"))</f>
        <v>0</v>
      </c>
      <c r="U5" s="505" t="str">
        <f t="shared" ref="U5:V20" si="6">IF(H5&lt;0,"1",IF(H5&gt;=0,"0"))</f>
        <v>0</v>
      </c>
      <c r="V5" s="505" t="str">
        <f t="shared" si="6"/>
        <v>0</v>
      </c>
      <c r="W5" s="505">
        <f t="shared" ref="W5:W20" si="7">IF(I5&lt;0,IF((H5/-(I5/12))&lt;3,2,IF((H5/(-I5/12))&lt;6,1,0)),0)</f>
        <v>0</v>
      </c>
      <c r="Y5" s="505">
        <f t="shared" ref="Y5:Y20" si="8">+R5+S5+T5+U5+V5+W5</f>
        <v>0</v>
      </c>
      <c r="Z5" s="765">
        <v>310545219.26999998</v>
      </c>
    </row>
    <row r="6" spans="1:26" s="505" customFormat="1" ht="35.1" customHeight="1" thickBot="1" x14ac:dyDescent="0.4">
      <c r="A6" s="505">
        <v>2</v>
      </c>
      <c r="B6" s="505">
        <v>2</v>
      </c>
      <c r="C6" s="506" t="s">
        <v>13</v>
      </c>
      <c r="D6" s="75">
        <v>1.32</v>
      </c>
      <c r="E6" s="631">
        <v>1.1499999999999999</v>
      </c>
      <c r="F6" s="75">
        <v>0.61</v>
      </c>
      <c r="G6" s="549">
        <f t="shared" si="0"/>
        <v>2</v>
      </c>
      <c r="H6" s="71">
        <v>31500720.329999998</v>
      </c>
      <c r="I6" s="633">
        <v>24166647.030000001</v>
      </c>
      <c r="J6" s="549">
        <f t="shared" si="1"/>
        <v>0</v>
      </c>
      <c r="K6" s="509">
        <f t="shared" ref="K6:K20" si="9">SUM(I6/3)</f>
        <v>8055549.0100000007</v>
      </c>
      <c r="L6" s="515">
        <f t="shared" si="2"/>
        <v>3.9104374252947403</v>
      </c>
      <c r="M6" s="549">
        <f t="shared" si="3"/>
        <v>0</v>
      </c>
      <c r="N6" s="512">
        <f>+G6+J6+M6</f>
        <v>2</v>
      </c>
      <c r="O6" s="511"/>
      <c r="P6" s="513"/>
      <c r="Q6" s="514">
        <v>0</v>
      </c>
      <c r="R6" s="505" t="str">
        <f t="shared" si="4"/>
        <v>1</v>
      </c>
      <c r="S6" s="505" t="str">
        <f>IF(E6&lt;=1,"1",IF(E6&gt;1,"0"))</f>
        <v>0</v>
      </c>
      <c r="T6" s="505" t="str">
        <f t="shared" si="5"/>
        <v>1</v>
      </c>
      <c r="U6" s="505" t="str">
        <f t="shared" si="6"/>
        <v>0</v>
      </c>
      <c r="V6" s="505" t="str">
        <f t="shared" si="6"/>
        <v>0</v>
      </c>
      <c r="W6" s="505">
        <f t="shared" si="7"/>
        <v>0</v>
      </c>
      <c r="Y6" s="505">
        <f t="shared" si="8"/>
        <v>2</v>
      </c>
      <c r="Z6" s="765">
        <v>-37322046.140000001</v>
      </c>
    </row>
    <row r="7" spans="1:26" s="505" customFormat="1" ht="35.1" customHeight="1" thickBot="1" x14ac:dyDescent="0.4">
      <c r="A7" s="505">
        <v>8</v>
      </c>
      <c r="B7" s="505">
        <v>3</v>
      </c>
      <c r="C7" s="506" t="s">
        <v>14</v>
      </c>
      <c r="D7" s="75">
        <v>1.64</v>
      </c>
      <c r="E7" s="631">
        <v>1.45</v>
      </c>
      <c r="F7" s="631">
        <v>1.1200000000000001</v>
      </c>
      <c r="G7" s="549">
        <f t="shared" si="0"/>
        <v>0</v>
      </c>
      <c r="H7" s="71">
        <v>19397468.57</v>
      </c>
      <c r="I7" s="633">
        <v>8576601.9700000007</v>
      </c>
      <c r="J7" s="549">
        <f t="shared" si="1"/>
        <v>0</v>
      </c>
      <c r="K7" s="509">
        <f t="shared" si="9"/>
        <v>2858867.3233333337</v>
      </c>
      <c r="L7" s="515">
        <f t="shared" si="2"/>
        <v>6.7850188120598993</v>
      </c>
      <c r="M7" s="549">
        <f t="shared" si="3"/>
        <v>0</v>
      </c>
      <c r="N7" s="522">
        <f t="shared" ref="N7:N20" si="10">+Y7</f>
        <v>0</v>
      </c>
      <c r="O7" s="511"/>
      <c r="P7" s="513"/>
      <c r="Q7" s="522">
        <v>1</v>
      </c>
      <c r="R7" s="505" t="str">
        <f t="shared" si="4"/>
        <v>0</v>
      </c>
      <c r="S7" s="526" t="str">
        <f>IF(E7&lt;1,"1",IF(E7&gt;=1,"0"))</f>
        <v>0</v>
      </c>
      <c r="T7" s="505" t="str">
        <f t="shared" si="5"/>
        <v>0</v>
      </c>
      <c r="U7" s="505" t="str">
        <f t="shared" si="6"/>
        <v>0</v>
      </c>
      <c r="V7" s="505" t="str">
        <f t="shared" si="6"/>
        <v>0</v>
      </c>
      <c r="W7" s="505">
        <f t="shared" si="7"/>
        <v>0</v>
      </c>
      <c r="Y7" s="505">
        <f t="shared" si="8"/>
        <v>0</v>
      </c>
      <c r="Z7" s="765">
        <v>4066830.96</v>
      </c>
    </row>
    <row r="8" spans="1:26" s="505" customFormat="1" ht="35.1" customHeight="1" thickBot="1" x14ac:dyDescent="0.4">
      <c r="A8" s="505">
        <v>16</v>
      </c>
      <c r="B8" s="505">
        <v>4</v>
      </c>
      <c r="C8" s="506" t="s">
        <v>15</v>
      </c>
      <c r="D8" s="631">
        <v>1.7</v>
      </c>
      <c r="E8" s="631">
        <v>1.6</v>
      </c>
      <c r="F8" s="631">
        <v>1.2</v>
      </c>
      <c r="G8" s="549">
        <f t="shared" si="0"/>
        <v>0</v>
      </c>
      <c r="H8" s="71">
        <v>14320097.119999999</v>
      </c>
      <c r="I8" s="633">
        <v>7530689.9000000004</v>
      </c>
      <c r="J8" s="549">
        <f t="shared" si="1"/>
        <v>0</v>
      </c>
      <c r="K8" s="509">
        <f t="shared" si="9"/>
        <v>2510229.9666666668</v>
      </c>
      <c r="L8" s="515">
        <f t="shared" si="2"/>
        <v>5.7046953108506031</v>
      </c>
      <c r="M8" s="549">
        <f t="shared" si="3"/>
        <v>0</v>
      </c>
      <c r="N8" s="519">
        <f t="shared" si="10"/>
        <v>0</v>
      </c>
      <c r="O8" s="511"/>
      <c r="P8" s="513"/>
      <c r="Q8" s="520">
        <v>2</v>
      </c>
      <c r="R8" s="505" t="str">
        <f t="shared" si="4"/>
        <v>0</v>
      </c>
      <c r="S8" s="505" t="str">
        <f t="shared" ref="S8:S20" si="11">IF(E8&lt;=1,"1",IF(E8&gt;1,"0"))</f>
        <v>0</v>
      </c>
      <c r="T8" s="505" t="str">
        <f t="shared" si="5"/>
        <v>0</v>
      </c>
      <c r="U8" s="505" t="str">
        <f t="shared" si="6"/>
        <v>0</v>
      </c>
      <c r="V8" s="505" t="str">
        <f t="shared" si="6"/>
        <v>0</v>
      </c>
      <c r="W8" s="505">
        <f t="shared" si="7"/>
        <v>0</v>
      </c>
      <c r="Y8" s="505">
        <f t="shared" si="8"/>
        <v>0</v>
      </c>
      <c r="Z8" s="765">
        <v>4315791.96</v>
      </c>
    </row>
    <row r="9" spans="1:26" s="505" customFormat="1" ht="35.1" customHeight="1" thickBot="1" x14ac:dyDescent="0.4">
      <c r="A9" s="505">
        <v>14</v>
      </c>
      <c r="B9" s="505">
        <v>5</v>
      </c>
      <c r="C9" s="506" t="s">
        <v>16</v>
      </c>
      <c r="D9" s="631">
        <v>1.81</v>
      </c>
      <c r="E9" s="631">
        <v>1.62</v>
      </c>
      <c r="F9" s="631">
        <v>1.33</v>
      </c>
      <c r="G9" s="549">
        <f t="shared" si="0"/>
        <v>0</v>
      </c>
      <c r="H9" s="71">
        <v>15549740.060000001</v>
      </c>
      <c r="I9" s="633">
        <v>5136957.8</v>
      </c>
      <c r="J9" s="549">
        <f t="shared" si="1"/>
        <v>0</v>
      </c>
      <c r="K9" s="509">
        <f t="shared" si="9"/>
        <v>1712319.2666666666</v>
      </c>
      <c r="L9" s="515">
        <f t="shared" si="2"/>
        <v>9.0810985793965457</v>
      </c>
      <c r="M9" s="549">
        <f t="shared" si="3"/>
        <v>0</v>
      </c>
      <c r="N9" s="522">
        <f t="shared" si="10"/>
        <v>0</v>
      </c>
      <c r="O9" s="511"/>
      <c r="P9" s="513"/>
      <c r="Q9" s="522">
        <v>1</v>
      </c>
      <c r="R9" s="505" t="str">
        <f t="shared" si="4"/>
        <v>0</v>
      </c>
      <c r="S9" s="505" t="str">
        <f t="shared" si="11"/>
        <v>0</v>
      </c>
      <c r="T9" s="505" t="str">
        <f t="shared" si="5"/>
        <v>0</v>
      </c>
      <c r="U9" s="505" t="str">
        <f t="shared" si="6"/>
        <v>0</v>
      </c>
      <c r="V9" s="505" t="str">
        <f t="shared" si="6"/>
        <v>0</v>
      </c>
      <c r="W9" s="505">
        <f t="shared" si="7"/>
        <v>0</v>
      </c>
      <c r="Y9" s="505">
        <f t="shared" si="8"/>
        <v>0</v>
      </c>
      <c r="Z9" s="765">
        <v>6431125.71</v>
      </c>
    </row>
    <row r="10" spans="1:26" s="505" customFormat="1" ht="35.1" customHeight="1" thickBot="1" x14ac:dyDescent="0.4">
      <c r="A10" s="505">
        <v>10</v>
      </c>
      <c r="B10" s="505">
        <v>6</v>
      </c>
      <c r="C10" s="516" t="s">
        <v>17</v>
      </c>
      <c r="D10" s="631">
        <v>1.54</v>
      </c>
      <c r="E10" s="631">
        <v>1.39</v>
      </c>
      <c r="F10" s="631">
        <v>1.21</v>
      </c>
      <c r="G10" s="549">
        <f t="shared" si="0"/>
        <v>0</v>
      </c>
      <c r="H10" s="71">
        <v>9479626</v>
      </c>
      <c r="I10" s="635">
        <v>5788238.3700000001</v>
      </c>
      <c r="J10" s="632">
        <f t="shared" si="1"/>
        <v>0</v>
      </c>
      <c r="K10" s="509">
        <f t="shared" si="9"/>
        <v>1929412.79</v>
      </c>
      <c r="L10" s="515">
        <f t="shared" si="2"/>
        <v>4.9132181817868013</v>
      </c>
      <c r="M10" s="549">
        <f t="shared" si="3"/>
        <v>0</v>
      </c>
      <c r="N10" s="519">
        <f t="shared" si="10"/>
        <v>0</v>
      </c>
      <c r="O10" s="511"/>
      <c r="P10" s="513"/>
      <c r="Q10" s="520">
        <v>2</v>
      </c>
      <c r="R10" s="505" t="str">
        <f t="shared" si="4"/>
        <v>0</v>
      </c>
      <c r="S10" s="505" t="str">
        <f t="shared" si="11"/>
        <v>0</v>
      </c>
      <c r="T10" s="505" t="str">
        <f t="shared" si="5"/>
        <v>0</v>
      </c>
      <c r="U10" s="505" t="str">
        <f t="shared" si="6"/>
        <v>0</v>
      </c>
      <c r="V10" s="505" t="str">
        <f t="shared" si="6"/>
        <v>0</v>
      </c>
      <c r="W10" s="505">
        <f t="shared" si="7"/>
        <v>0</v>
      </c>
      <c r="Y10" s="505">
        <f t="shared" si="8"/>
        <v>0</v>
      </c>
      <c r="Z10" s="765">
        <v>3526319.33</v>
      </c>
    </row>
    <row r="11" spans="1:26" s="505" customFormat="1" ht="35.1" customHeight="1" thickBot="1" x14ac:dyDescent="0.4">
      <c r="A11" s="505">
        <v>11</v>
      </c>
      <c r="B11" s="505">
        <v>7</v>
      </c>
      <c r="C11" s="516" t="s">
        <v>18</v>
      </c>
      <c r="D11" s="631">
        <v>1.87</v>
      </c>
      <c r="E11" s="631">
        <v>1.71</v>
      </c>
      <c r="F11" s="631">
        <v>1.06</v>
      </c>
      <c r="G11" s="549">
        <f t="shared" si="0"/>
        <v>0</v>
      </c>
      <c r="H11" s="71">
        <v>39582933.469999999</v>
      </c>
      <c r="I11" s="633">
        <v>23243522.280000001</v>
      </c>
      <c r="J11" s="549">
        <f t="shared" si="1"/>
        <v>0</v>
      </c>
      <c r="K11" s="509">
        <f t="shared" si="9"/>
        <v>7747840.7600000007</v>
      </c>
      <c r="L11" s="515">
        <f t="shared" si="2"/>
        <v>5.1088986849543865</v>
      </c>
      <c r="M11" s="549">
        <f t="shared" si="3"/>
        <v>0</v>
      </c>
      <c r="N11" s="514">
        <f t="shared" si="10"/>
        <v>0</v>
      </c>
      <c r="O11" s="514"/>
      <c r="P11" s="521"/>
      <c r="Q11" s="529">
        <v>0</v>
      </c>
      <c r="R11" s="505" t="str">
        <f t="shared" si="4"/>
        <v>0</v>
      </c>
      <c r="S11" s="505" t="str">
        <f t="shared" si="11"/>
        <v>0</v>
      </c>
      <c r="T11" s="505" t="str">
        <f t="shared" si="5"/>
        <v>0</v>
      </c>
      <c r="U11" s="505" t="str">
        <f t="shared" si="6"/>
        <v>0</v>
      </c>
      <c r="V11" s="505" t="str">
        <f t="shared" si="6"/>
        <v>0</v>
      </c>
      <c r="W11" s="505">
        <f t="shared" si="7"/>
        <v>0</v>
      </c>
      <c r="Y11" s="505">
        <f t="shared" si="8"/>
        <v>0</v>
      </c>
      <c r="Z11" s="765">
        <v>2411274.23</v>
      </c>
    </row>
    <row r="12" spans="1:26" s="505" customFormat="1" ht="35.1" customHeight="1" thickBot="1" x14ac:dyDescent="0.4">
      <c r="A12" s="505">
        <v>4</v>
      </c>
      <c r="B12" s="505">
        <v>8</v>
      </c>
      <c r="C12" s="516" t="s">
        <v>19</v>
      </c>
      <c r="D12" s="75">
        <v>1.7</v>
      </c>
      <c r="E12" s="631">
        <v>1.52</v>
      </c>
      <c r="F12" s="75">
        <v>1.1200000000000001</v>
      </c>
      <c r="G12" s="632">
        <f t="shared" si="0"/>
        <v>0</v>
      </c>
      <c r="H12" s="71">
        <v>15178839.73</v>
      </c>
      <c r="I12" s="633">
        <v>17184565.280000001</v>
      </c>
      <c r="J12" s="549">
        <f t="shared" si="1"/>
        <v>0</v>
      </c>
      <c r="K12" s="509">
        <f t="shared" si="9"/>
        <v>5728188.4266666668</v>
      </c>
      <c r="L12" s="515">
        <f t="shared" si="2"/>
        <v>2.6498499349877065</v>
      </c>
      <c r="M12" s="549">
        <f t="shared" si="3"/>
        <v>0</v>
      </c>
      <c r="N12" s="512">
        <f t="shared" si="10"/>
        <v>0</v>
      </c>
      <c r="O12" s="511"/>
      <c r="P12" s="513"/>
      <c r="Q12" s="512">
        <v>4</v>
      </c>
      <c r="R12" s="505" t="str">
        <f t="shared" si="4"/>
        <v>0</v>
      </c>
      <c r="S12" s="505" t="str">
        <f t="shared" si="11"/>
        <v>0</v>
      </c>
      <c r="T12" s="505" t="str">
        <f t="shared" si="5"/>
        <v>0</v>
      </c>
      <c r="U12" s="505" t="str">
        <f t="shared" si="6"/>
        <v>0</v>
      </c>
      <c r="V12" s="505" t="str">
        <f t="shared" si="6"/>
        <v>0</v>
      </c>
      <c r="W12" s="505">
        <f t="shared" si="7"/>
        <v>0</v>
      </c>
      <c r="Y12" s="505">
        <f t="shared" si="8"/>
        <v>0</v>
      </c>
      <c r="Z12" s="765">
        <v>2681957.11</v>
      </c>
    </row>
    <row r="13" spans="1:26" s="505" customFormat="1" ht="35.1" customHeight="1" thickBot="1" x14ac:dyDescent="0.4">
      <c r="A13" s="505">
        <v>5</v>
      </c>
      <c r="B13" s="505">
        <v>9</v>
      </c>
      <c r="C13" s="516" t="s">
        <v>20</v>
      </c>
      <c r="D13" s="75">
        <v>1.62</v>
      </c>
      <c r="E13" s="631">
        <v>1.45</v>
      </c>
      <c r="F13" s="631">
        <v>1.1200000000000001</v>
      </c>
      <c r="G13" s="632">
        <f t="shared" si="0"/>
        <v>0</v>
      </c>
      <c r="H13" s="71">
        <v>15753696.58</v>
      </c>
      <c r="I13" s="633">
        <v>18227629.050000001</v>
      </c>
      <c r="J13" s="549">
        <f t="shared" si="1"/>
        <v>0</v>
      </c>
      <c r="K13" s="509">
        <f t="shared" si="9"/>
        <v>6075876.3500000006</v>
      </c>
      <c r="L13" s="515">
        <f t="shared" si="2"/>
        <v>2.5928270544873744</v>
      </c>
      <c r="M13" s="549">
        <f t="shared" si="3"/>
        <v>0</v>
      </c>
      <c r="N13" s="522">
        <f t="shared" si="10"/>
        <v>0</v>
      </c>
      <c r="O13" s="511"/>
      <c r="P13" s="513"/>
      <c r="Q13" s="524">
        <v>1</v>
      </c>
      <c r="R13" s="505" t="str">
        <f t="shared" si="4"/>
        <v>0</v>
      </c>
      <c r="S13" s="505" t="str">
        <f t="shared" si="11"/>
        <v>0</v>
      </c>
      <c r="T13" s="505" t="str">
        <f t="shared" si="5"/>
        <v>0</v>
      </c>
      <c r="U13" s="505" t="str">
        <f t="shared" si="6"/>
        <v>0</v>
      </c>
      <c r="V13" s="505" t="str">
        <f t="shared" si="6"/>
        <v>0</v>
      </c>
      <c r="W13" s="505">
        <f t="shared" si="7"/>
        <v>0</v>
      </c>
      <c r="Y13" s="505">
        <f t="shared" si="8"/>
        <v>0</v>
      </c>
      <c r="Z13" s="765">
        <v>2983114.17</v>
      </c>
    </row>
    <row r="14" spans="1:26" s="505" customFormat="1" ht="35.1" customHeight="1" thickBot="1" x14ac:dyDescent="0.4">
      <c r="A14" s="505">
        <v>3</v>
      </c>
      <c r="B14" s="505">
        <v>10</v>
      </c>
      <c r="C14" s="516" t="s">
        <v>21</v>
      </c>
      <c r="D14" s="631">
        <v>1.42</v>
      </c>
      <c r="E14" s="631">
        <v>1.23</v>
      </c>
      <c r="F14" s="631">
        <v>0.8</v>
      </c>
      <c r="G14" s="549">
        <f t="shared" si="0"/>
        <v>1</v>
      </c>
      <c r="H14" s="71">
        <v>7678702.4000000004</v>
      </c>
      <c r="I14" s="633">
        <v>3854278.89</v>
      </c>
      <c r="J14" s="549">
        <f t="shared" si="1"/>
        <v>0</v>
      </c>
      <c r="K14" s="509">
        <f t="shared" si="9"/>
        <v>1284759.6300000001</v>
      </c>
      <c r="L14" s="515">
        <f t="shared" si="2"/>
        <v>5.9767618943630723</v>
      </c>
      <c r="M14" s="549">
        <f t="shared" si="3"/>
        <v>0</v>
      </c>
      <c r="N14" s="519">
        <f t="shared" si="10"/>
        <v>1</v>
      </c>
      <c r="O14" s="511"/>
      <c r="P14" s="521"/>
      <c r="Q14" s="524">
        <v>1</v>
      </c>
      <c r="R14" s="505" t="str">
        <f t="shared" si="4"/>
        <v>1</v>
      </c>
      <c r="S14" s="505" t="str">
        <f t="shared" si="11"/>
        <v>0</v>
      </c>
      <c r="T14" s="505" t="str">
        <f t="shared" si="5"/>
        <v>0</v>
      </c>
      <c r="U14" s="505" t="str">
        <f t="shared" si="6"/>
        <v>0</v>
      </c>
      <c r="V14" s="505" t="str">
        <f t="shared" si="6"/>
        <v>0</v>
      </c>
      <c r="W14" s="505">
        <f t="shared" si="7"/>
        <v>0</v>
      </c>
      <c r="Y14" s="505">
        <f t="shared" si="8"/>
        <v>1</v>
      </c>
      <c r="Z14" s="765">
        <v>-3611421.6</v>
      </c>
    </row>
    <row r="15" spans="1:26" s="505" customFormat="1" ht="35.1" customHeight="1" thickBot="1" x14ac:dyDescent="0.4">
      <c r="A15" s="505">
        <v>9</v>
      </c>
      <c r="B15" s="505">
        <v>11</v>
      </c>
      <c r="C15" s="516" t="s">
        <v>22</v>
      </c>
      <c r="D15" s="631">
        <v>2.09</v>
      </c>
      <c r="E15" s="631">
        <v>1.86</v>
      </c>
      <c r="F15" s="631">
        <v>1.45</v>
      </c>
      <c r="G15" s="549">
        <f t="shared" si="0"/>
        <v>0</v>
      </c>
      <c r="H15" s="71">
        <v>14585399.960000001</v>
      </c>
      <c r="I15" s="633">
        <v>16663070.539999999</v>
      </c>
      <c r="J15" s="549">
        <f t="shared" si="1"/>
        <v>0</v>
      </c>
      <c r="K15" s="509">
        <f t="shared" si="9"/>
        <v>5554356.8466666667</v>
      </c>
      <c r="L15" s="515">
        <f t="shared" si="2"/>
        <v>2.6259385852662906</v>
      </c>
      <c r="M15" s="549">
        <f t="shared" si="3"/>
        <v>0</v>
      </c>
      <c r="N15" s="527">
        <f t="shared" si="10"/>
        <v>0</v>
      </c>
      <c r="O15" s="511"/>
      <c r="P15" s="513"/>
      <c r="Q15" s="528">
        <v>4</v>
      </c>
      <c r="R15" s="505" t="str">
        <f t="shared" si="4"/>
        <v>0</v>
      </c>
      <c r="S15" s="505" t="str">
        <f t="shared" si="11"/>
        <v>0</v>
      </c>
      <c r="T15" s="505" t="str">
        <f t="shared" si="5"/>
        <v>0</v>
      </c>
      <c r="U15" s="505" t="str">
        <f t="shared" si="6"/>
        <v>0</v>
      </c>
      <c r="V15" s="505" t="str">
        <f t="shared" si="6"/>
        <v>0</v>
      </c>
      <c r="W15" s="505">
        <f t="shared" si="7"/>
        <v>0</v>
      </c>
      <c r="Y15" s="505">
        <f t="shared" si="8"/>
        <v>0</v>
      </c>
      <c r="Z15" s="765">
        <v>6087517.2199999997</v>
      </c>
    </row>
    <row r="16" spans="1:26" s="505" customFormat="1" ht="35.1" customHeight="1" thickBot="1" x14ac:dyDescent="0.4">
      <c r="A16" s="505">
        <v>15</v>
      </c>
      <c r="B16" s="505">
        <v>12</v>
      </c>
      <c r="C16" s="516" t="s">
        <v>23</v>
      </c>
      <c r="D16" s="631">
        <v>2.37</v>
      </c>
      <c r="E16" s="631">
        <v>2.23</v>
      </c>
      <c r="F16" s="631">
        <v>1.87</v>
      </c>
      <c r="G16" s="549">
        <f t="shared" si="0"/>
        <v>0</v>
      </c>
      <c r="H16" s="71">
        <v>53193176.57</v>
      </c>
      <c r="I16" s="633">
        <v>27616588.120000001</v>
      </c>
      <c r="J16" s="549">
        <f t="shared" si="1"/>
        <v>0</v>
      </c>
      <c r="K16" s="509">
        <f t="shared" si="9"/>
        <v>9205529.3733333331</v>
      </c>
      <c r="L16" s="515">
        <f t="shared" si="2"/>
        <v>5.7783940947590162</v>
      </c>
      <c r="M16" s="549">
        <f t="shared" si="3"/>
        <v>0</v>
      </c>
      <c r="N16" s="524">
        <f t="shared" si="10"/>
        <v>0</v>
      </c>
      <c r="O16" s="511"/>
      <c r="P16" s="521"/>
      <c r="Q16" s="524">
        <v>1</v>
      </c>
      <c r="R16" s="505" t="str">
        <f t="shared" si="4"/>
        <v>0</v>
      </c>
      <c r="S16" s="505" t="str">
        <f t="shared" si="11"/>
        <v>0</v>
      </c>
      <c r="T16" s="505" t="str">
        <f t="shared" si="5"/>
        <v>0</v>
      </c>
      <c r="U16" s="505" t="str">
        <f t="shared" si="6"/>
        <v>0</v>
      </c>
      <c r="V16" s="505" t="str">
        <f t="shared" si="6"/>
        <v>0</v>
      </c>
      <c r="W16" s="505">
        <f t="shared" si="7"/>
        <v>0</v>
      </c>
      <c r="Y16" s="505">
        <f t="shared" si="8"/>
        <v>0</v>
      </c>
      <c r="Z16" s="765">
        <v>33427543.32</v>
      </c>
    </row>
    <row r="17" spans="1:26" s="505" customFormat="1" ht="35.1" customHeight="1" thickBot="1" x14ac:dyDescent="0.4">
      <c r="A17" s="505">
        <v>6</v>
      </c>
      <c r="B17" s="505">
        <v>13</v>
      </c>
      <c r="C17" s="516" t="s">
        <v>24</v>
      </c>
      <c r="D17" s="631">
        <v>1.78</v>
      </c>
      <c r="E17" s="631">
        <v>1.5</v>
      </c>
      <c r="F17" s="631">
        <v>0.91</v>
      </c>
      <c r="G17" s="549">
        <f t="shared" si="0"/>
        <v>0</v>
      </c>
      <c r="H17" s="71">
        <v>4749869.1900000004</v>
      </c>
      <c r="I17" s="635">
        <v>2358069.58</v>
      </c>
      <c r="J17" s="632">
        <f t="shared" si="1"/>
        <v>0</v>
      </c>
      <c r="K17" s="509">
        <f t="shared" si="9"/>
        <v>786023.19333333336</v>
      </c>
      <c r="L17" s="515">
        <f t="shared" si="2"/>
        <v>6.0429122579156465</v>
      </c>
      <c r="M17" s="549">
        <f t="shared" si="3"/>
        <v>0</v>
      </c>
      <c r="N17" s="520">
        <f t="shared" si="10"/>
        <v>0</v>
      </c>
      <c r="O17" s="523"/>
      <c r="P17" s="521"/>
      <c r="Q17" s="524">
        <v>1</v>
      </c>
      <c r="R17" s="505" t="str">
        <f t="shared" si="4"/>
        <v>0</v>
      </c>
      <c r="S17" s="505" t="str">
        <f t="shared" si="11"/>
        <v>0</v>
      </c>
      <c r="T17" s="505" t="str">
        <f t="shared" si="5"/>
        <v>0</v>
      </c>
      <c r="U17" s="505" t="str">
        <f t="shared" si="6"/>
        <v>0</v>
      </c>
      <c r="V17" s="505" t="str">
        <f t="shared" si="6"/>
        <v>0</v>
      </c>
      <c r="W17" s="505">
        <f t="shared" si="7"/>
        <v>0</v>
      </c>
      <c r="Y17" s="505">
        <f t="shared" si="8"/>
        <v>0</v>
      </c>
      <c r="Z17" s="765">
        <v>-555963</v>
      </c>
    </row>
    <row r="18" spans="1:26" s="505" customFormat="1" ht="35.1" customHeight="1" thickBot="1" x14ac:dyDescent="0.4">
      <c r="A18" s="505">
        <v>1</v>
      </c>
      <c r="B18" s="505">
        <v>14</v>
      </c>
      <c r="C18" s="516" t="s">
        <v>25</v>
      </c>
      <c r="D18" s="75">
        <v>1.8</v>
      </c>
      <c r="E18" s="631">
        <v>1.69</v>
      </c>
      <c r="F18" s="631">
        <v>1.26</v>
      </c>
      <c r="G18" s="632">
        <f t="shared" si="0"/>
        <v>0</v>
      </c>
      <c r="H18" s="71">
        <v>15976360.68</v>
      </c>
      <c r="I18" s="633">
        <v>10441905.720000001</v>
      </c>
      <c r="J18" s="549">
        <f t="shared" si="1"/>
        <v>0</v>
      </c>
      <c r="K18" s="509">
        <f t="shared" si="9"/>
        <v>3480635.24</v>
      </c>
      <c r="L18" s="515">
        <f t="shared" si="2"/>
        <v>4.5900703688789859</v>
      </c>
      <c r="M18" s="549">
        <f t="shared" si="3"/>
        <v>0</v>
      </c>
      <c r="N18" s="630">
        <f t="shared" si="10"/>
        <v>0</v>
      </c>
      <c r="O18" s="511"/>
      <c r="P18" s="513"/>
      <c r="Q18" s="630">
        <v>5</v>
      </c>
      <c r="R18" s="505" t="str">
        <f t="shared" si="4"/>
        <v>0</v>
      </c>
      <c r="S18" s="505" t="str">
        <f t="shared" si="11"/>
        <v>0</v>
      </c>
      <c r="T18" s="505" t="str">
        <f t="shared" si="5"/>
        <v>0</v>
      </c>
      <c r="U18" s="505" t="str">
        <f t="shared" si="6"/>
        <v>0</v>
      </c>
      <c r="V18" s="505" t="str">
        <f t="shared" si="6"/>
        <v>0</v>
      </c>
      <c r="W18" s="505">
        <f t="shared" si="7"/>
        <v>0</v>
      </c>
      <c r="Y18" s="505">
        <f t="shared" si="8"/>
        <v>0</v>
      </c>
      <c r="Z18" s="765">
        <v>2407296.7200000002</v>
      </c>
    </row>
    <row r="19" spans="1:26" s="505" customFormat="1" ht="35.1" customHeight="1" thickBot="1" x14ac:dyDescent="0.4">
      <c r="A19" s="505">
        <v>7</v>
      </c>
      <c r="B19" s="505">
        <v>15</v>
      </c>
      <c r="C19" s="516" t="s">
        <v>26</v>
      </c>
      <c r="D19" s="631">
        <v>1.73</v>
      </c>
      <c r="E19" s="631">
        <v>1.58</v>
      </c>
      <c r="F19" s="631">
        <v>1.31</v>
      </c>
      <c r="G19" s="549">
        <f t="shared" si="0"/>
        <v>0</v>
      </c>
      <c r="H19" s="71">
        <v>9236600.7699999996</v>
      </c>
      <c r="I19" s="633">
        <v>3833480.11</v>
      </c>
      <c r="J19" s="549">
        <f t="shared" si="1"/>
        <v>0</v>
      </c>
      <c r="K19" s="509">
        <f t="shared" si="9"/>
        <v>1277826.7033333334</v>
      </c>
      <c r="L19" s="515">
        <f t="shared" si="2"/>
        <v>7.2283673098280401</v>
      </c>
      <c r="M19" s="549">
        <f t="shared" si="3"/>
        <v>0</v>
      </c>
      <c r="N19" s="524">
        <f t="shared" si="10"/>
        <v>0</v>
      </c>
      <c r="O19" s="511"/>
      <c r="P19" s="513"/>
      <c r="Q19" s="528">
        <v>4</v>
      </c>
      <c r="R19" s="505" t="str">
        <f t="shared" si="4"/>
        <v>0</v>
      </c>
      <c r="S19" s="505" t="str">
        <f t="shared" si="11"/>
        <v>0</v>
      </c>
      <c r="T19" s="505" t="str">
        <f>IF(F19&lt;0.8,"1",IF(F19&gt;=0.8,"0"))</f>
        <v>0</v>
      </c>
      <c r="U19" s="505" t="str">
        <f t="shared" si="6"/>
        <v>0</v>
      </c>
      <c r="V19" s="505" t="str">
        <f t="shared" si="6"/>
        <v>0</v>
      </c>
      <c r="W19" s="505">
        <f t="shared" si="7"/>
        <v>0</v>
      </c>
      <c r="Y19" s="505">
        <f t="shared" si="8"/>
        <v>0</v>
      </c>
      <c r="Z19" s="765">
        <v>3246637.44</v>
      </c>
    </row>
    <row r="20" spans="1:26" s="505" customFormat="1" ht="35.1" customHeight="1" thickBot="1" x14ac:dyDescent="0.4">
      <c r="A20" s="505">
        <v>12</v>
      </c>
      <c r="B20" s="505">
        <v>16</v>
      </c>
      <c r="C20" s="506" t="s">
        <v>27</v>
      </c>
      <c r="D20" s="75">
        <v>1.57</v>
      </c>
      <c r="E20" s="631">
        <v>1.33</v>
      </c>
      <c r="F20" s="75">
        <v>0.92</v>
      </c>
      <c r="G20" s="636">
        <f>(IF(D20&lt;1.5,1,0))+(IF(E20&lt;1,1,0))+(IF(F20&lt;0.8,1,0))</f>
        <v>0</v>
      </c>
      <c r="H20" s="71">
        <v>4921722.7699999996</v>
      </c>
      <c r="I20" s="633">
        <v>4434685</v>
      </c>
      <c r="J20" s="549">
        <f t="shared" si="1"/>
        <v>0</v>
      </c>
      <c r="K20" s="509">
        <f t="shared" si="9"/>
        <v>1478228.3333333333</v>
      </c>
      <c r="L20" s="515">
        <f t="shared" si="2"/>
        <v>3.3294739784223681</v>
      </c>
      <c r="M20" s="549">
        <f t="shared" si="3"/>
        <v>0</v>
      </c>
      <c r="N20" s="522">
        <f t="shared" si="10"/>
        <v>0</v>
      </c>
      <c r="O20" s="511"/>
      <c r="P20" s="513"/>
      <c r="Q20" s="528">
        <v>4</v>
      </c>
      <c r="R20" s="505" t="str">
        <f t="shared" si="4"/>
        <v>0</v>
      </c>
      <c r="S20" s="505" t="str">
        <f t="shared" si="11"/>
        <v>0</v>
      </c>
      <c r="T20" s="505" t="str">
        <f>IF(F20&lt;0.8,"1",IF(F20&gt;=0.8,"0"))</f>
        <v>0</v>
      </c>
      <c r="U20" s="505" t="str">
        <f t="shared" si="6"/>
        <v>0</v>
      </c>
      <c r="V20" s="505" t="str">
        <f t="shared" si="6"/>
        <v>0</v>
      </c>
      <c r="W20" s="505">
        <f t="shared" si="7"/>
        <v>0</v>
      </c>
      <c r="Y20" s="505">
        <f t="shared" si="8"/>
        <v>0</v>
      </c>
      <c r="Z20" s="765">
        <v>-658552.65</v>
      </c>
    </row>
    <row r="21" spans="1:26" ht="9" customHeight="1" x14ac:dyDescent="0.25">
      <c r="H21" s="530"/>
      <c r="I21" s="530"/>
      <c r="L21" s="531"/>
      <c r="M21" s="531"/>
      <c r="N21" s="531"/>
    </row>
    <row r="22" spans="1:26" ht="22.5" customHeight="1" x14ac:dyDescent="0.25">
      <c r="C22" s="532"/>
      <c r="D22" s="533"/>
      <c r="E22" s="533"/>
      <c r="F22" s="533"/>
      <c r="G22" s="533"/>
      <c r="H22" s="534"/>
      <c r="I22" s="534"/>
      <c r="J22" s="534"/>
      <c r="K22" s="535" t="s">
        <v>28</v>
      </c>
      <c r="L22" s="536"/>
      <c r="M22" s="536"/>
      <c r="N22" s="536"/>
    </row>
    <row r="23" spans="1:26" x14ac:dyDescent="0.25">
      <c r="C23" s="537" t="s">
        <v>29</v>
      </c>
      <c r="D23" s="534"/>
      <c r="E23" s="534"/>
      <c r="F23" s="534"/>
      <c r="G23" s="534"/>
      <c r="H23" s="534"/>
      <c r="I23" s="534"/>
      <c r="J23" s="534"/>
      <c r="K23" s="538" t="s">
        <v>30</v>
      </c>
      <c r="L23" s="760" t="s">
        <v>31</v>
      </c>
      <c r="M23" s="760"/>
      <c r="N23" s="760"/>
    </row>
    <row r="24" spans="1:26" x14ac:dyDescent="0.25">
      <c r="C24" s="537"/>
      <c r="D24" s="534"/>
      <c r="E24" s="534"/>
      <c r="F24" s="534"/>
      <c r="G24" s="534"/>
      <c r="H24" s="534"/>
      <c r="I24" s="534"/>
      <c r="J24" s="534"/>
      <c r="K24" s="539" t="s">
        <v>33</v>
      </c>
      <c r="L24" s="760"/>
      <c r="M24" s="760"/>
      <c r="N24" s="760"/>
    </row>
    <row r="25" spans="1:26" ht="26.25" customHeight="1" x14ac:dyDescent="0.25">
      <c r="C25" s="540" t="s">
        <v>35</v>
      </c>
      <c r="D25" s="534"/>
      <c r="E25" s="534"/>
      <c r="F25" s="534"/>
      <c r="G25" s="534"/>
      <c r="H25" s="534"/>
      <c r="I25" s="534"/>
      <c r="J25" s="534"/>
      <c r="K25" s="541" t="s">
        <v>206</v>
      </c>
      <c r="L25" s="760" t="s">
        <v>31</v>
      </c>
      <c r="M25" s="760"/>
      <c r="N25" s="760"/>
    </row>
    <row r="26" spans="1:26" x14ac:dyDescent="0.25">
      <c r="C26" s="537"/>
      <c r="D26" s="534"/>
      <c r="E26" s="534"/>
      <c r="F26" s="534"/>
      <c r="G26" s="534"/>
      <c r="H26" s="534"/>
      <c r="I26" s="534"/>
      <c r="J26" s="534"/>
      <c r="K26" s="539" t="s">
        <v>33</v>
      </c>
      <c r="L26" s="760"/>
      <c r="M26" s="760"/>
      <c r="N26" s="760"/>
    </row>
    <row r="27" spans="1:26" x14ac:dyDescent="0.25">
      <c r="C27" s="537" t="s">
        <v>38</v>
      </c>
      <c r="D27" s="534"/>
      <c r="E27" s="534"/>
      <c r="F27" s="534"/>
      <c r="G27" s="534"/>
      <c r="H27" s="534"/>
      <c r="I27" s="539" t="s">
        <v>39</v>
      </c>
      <c r="J27" s="542"/>
      <c r="K27" s="761" t="s">
        <v>31</v>
      </c>
      <c r="L27" s="761"/>
      <c r="M27" s="634"/>
      <c r="N27" s="634"/>
    </row>
    <row r="28" spans="1:26" x14ac:dyDescent="0.25">
      <c r="C28" s="544" t="s">
        <v>41</v>
      </c>
      <c r="D28" s="534"/>
      <c r="E28" s="534"/>
      <c r="F28" s="534"/>
      <c r="G28" s="534"/>
      <c r="H28" s="534"/>
      <c r="I28" s="545" t="s">
        <v>207</v>
      </c>
      <c r="J28" s="546"/>
      <c r="K28" s="547"/>
      <c r="L28" s="548"/>
      <c r="M28" s="548"/>
      <c r="N28" s="548"/>
    </row>
    <row r="29" spans="1:26" ht="11.25" customHeight="1" x14ac:dyDescent="0.25">
      <c r="I29" s="534"/>
      <c r="J29" s="534"/>
      <c r="K29" s="549"/>
      <c r="L29" s="550"/>
      <c r="M29" s="550"/>
      <c r="N29" s="550"/>
    </row>
    <row r="30" spans="1:26" ht="23.25" customHeight="1" x14ac:dyDescent="0.25">
      <c r="C30" s="549"/>
      <c r="D30" s="534"/>
      <c r="E30" s="534"/>
      <c r="F30" s="534"/>
      <c r="G30" s="534"/>
      <c r="H30" s="534"/>
      <c r="I30" s="534"/>
      <c r="J30" s="534"/>
      <c r="K30" s="538" t="s">
        <v>208</v>
      </c>
      <c r="L30" s="760" t="s">
        <v>31</v>
      </c>
      <c r="M30" s="760"/>
      <c r="N30" s="760"/>
    </row>
    <row r="31" spans="1:26" ht="21.75" customHeight="1" x14ac:dyDescent="0.25">
      <c r="C31" s="549"/>
      <c r="D31" s="534"/>
      <c r="E31" s="534"/>
      <c r="F31" s="534"/>
      <c r="G31" s="534"/>
      <c r="H31" s="534"/>
      <c r="I31" s="534"/>
      <c r="J31" s="534"/>
      <c r="K31" s="539" t="s">
        <v>33</v>
      </c>
      <c r="L31" s="760"/>
      <c r="M31" s="760"/>
      <c r="N31" s="760"/>
    </row>
    <row r="32" spans="1:26" x14ac:dyDescent="0.25">
      <c r="C32" s="551" t="s">
        <v>209</v>
      </c>
      <c r="D32" s="534"/>
      <c r="E32" s="534"/>
      <c r="F32" s="534"/>
      <c r="G32" s="534"/>
      <c r="H32" s="534"/>
      <c r="I32" s="552"/>
      <c r="J32" s="552"/>
      <c r="K32" s="549"/>
      <c r="L32" s="550"/>
      <c r="M32" s="550"/>
      <c r="N32" s="550"/>
    </row>
    <row r="33" spans="3:14" x14ac:dyDescent="0.25">
      <c r="C33" s="537" t="s">
        <v>46</v>
      </c>
      <c r="D33" s="534"/>
      <c r="E33" s="534"/>
      <c r="F33" s="534"/>
      <c r="G33" s="534"/>
      <c r="H33" s="534"/>
      <c r="I33" s="534"/>
      <c r="J33" s="534"/>
      <c r="K33" s="549"/>
      <c r="L33" s="550"/>
      <c r="M33" s="550"/>
      <c r="N33" s="550"/>
    </row>
    <row r="34" spans="3:14" x14ac:dyDescent="0.25">
      <c r="C34" s="551" t="s">
        <v>210</v>
      </c>
      <c r="D34" s="534"/>
      <c r="E34" s="534"/>
      <c r="F34" s="534"/>
      <c r="G34" s="534"/>
      <c r="H34" s="534"/>
      <c r="I34" s="534"/>
      <c r="J34" s="534"/>
      <c r="K34" s="549"/>
      <c r="L34" s="550"/>
      <c r="M34" s="550"/>
      <c r="N34" s="550"/>
    </row>
    <row r="35" spans="3:14" x14ac:dyDescent="0.25">
      <c r="C35" s="551" t="s">
        <v>211</v>
      </c>
      <c r="D35" s="534"/>
      <c r="E35" s="534"/>
      <c r="F35" s="534"/>
      <c r="G35" s="534"/>
      <c r="H35" s="534"/>
      <c r="I35" s="534"/>
      <c r="J35" s="534"/>
      <c r="K35" s="549"/>
      <c r="L35" s="550"/>
      <c r="M35" s="550"/>
      <c r="N35" s="550"/>
    </row>
    <row r="36" spans="3:14" x14ac:dyDescent="0.25">
      <c r="C36" s="551" t="s">
        <v>212</v>
      </c>
      <c r="D36" s="534"/>
      <c r="E36" s="537"/>
      <c r="F36" s="553"/>
      <c r="G36" s="553"/>
      <c r="H36" s="553"/>
      <c r="I36" s="553"/>
      <c r="J36" s="553"/>
      <c r="K36" s="554"/>
      <c r="L36" s="550"/>
      <c r="M36" s="550"/>
      <c r="N36" s="550"/>
    </row>
    <row r="37" spans="3:14" x14ac:dyDescent="0.25">
      <c r="C37" s="549"/>
      <c r="D37" s="534"/>
      <c r="E37" s="537" t="s">
        <v>50</v>
      </c>
      <c r="F37" s="534"/>
      <c r="G37" s="534"/>
      <c r="H37" s="534"/>
      <c r="I37" s="534"/>
      <c r="J37" s="534"/>
      <c r="K37" s="549"/>
      <c r="L37" s="550"/>
      <c r="M37" s="550"/>
      <c r="N37" s="550"/>
    </row>
    <row r="38" spans="3:14" x14ac:dyDescent="0.25">
      <c r="C38" s="549"/>
      <c r="D38" s="534"/>
      <c r="E38" s="537" t="s">
        <v>51</v>
      </c>
      <c r="F38" s="534"/>
      <c r="G38" s="534"/>
      <c r="H38" s="534"/>
      <c r="I38" s="534"/>
      <c r="J38" s="534"/>
      <c r="K38" s="549"/>
      <c r="L38" s="550"/>
      <c r="M38" s="550"/>
      <c r="N38" s="550"/>
    </row>
    <row r="39" spans="3:14" x14ac:dyDescent="0.25">
      <c r="C39" s="549"/>
      <c r="D39" s="534"/>
      <c r="E39" s="537" t="s">
        <v>52</v>
      </c>
      <c r="F39" s="534"/>
      <c r="G39" s="534"/>
      <c r="H39" s="534"/>
      <c r="I39" s="534"/>
      <c r="J39" s="534"/>
      <c r="K39" s="549"/>
      <c r="L39" s="550"/>
      <c r="M39" s="550"/>
      <c r="N39" s="550"/>
    </row>
    <row r="40" spans="3:14" x14ac:dyDescent="0.25">
      <c r="C40" s="499" t="s">
        <v>53</v>
      </c>
      <c r="D40" s="534"/>
      <c r="E40" s="534"/>
      <c r="F40" s="534"/>
      <c r="G40" s="534"/>
      <c r="H40" s="534"/>
      <c r="I40" s="534"/>
      <c r="J40" s="534"/>
      <c r="K40" s="549"/>
      <c r="L40" s="550"/>
      <c r="M40" s="550"/>
      <c r="N40" s="550"/>
    </row>
    <row r="41" spans="3:14" x14ac:dyDescent="0.25">
      <c r="C41" s="551" t="s">
        <v>213</v>
      </c>
      <c r="D41" s="534"/>
      <c r="E41" s="534"/>
      <c r="F41" s="534"/>
      <c r="G41" s="534"/>
      <c r="H41" s="534"/>
      <c r="I41" s="534"/>
      <c r="J41" s="534"/>
      <c r="K41" s="549"/>
      <c r="L41" s="550"/>
      <c r="M41" s="550"/>
      <c r="N41" s="550"/>
    </row>
    <row r="43" spans="3:14" x14ac:dyDescent="0.25">
      <c r="C43" s="555"/>
      <c r="D43" s="556"/>
      <c r="E43" s="556"/>
      <c r="F43" s="557"/>
      <c r="G43" s="557"/>
      <c r="H43" s="533"/>
      <c r="I43" s="558"/>
      <c r="J43" s="558"/>
      <c r="K43" s="558"/>
      <c r="L43" s="559"/>
      <c r="M43" s="559"/>
      <c r="N43" s="559"/>
    </row>
  </sheetData>
  <mergeCells count="23">
    <mergeCell ref="Z2:Z4"/>
    <mergeCell ref="C1:N1"/>
    <mergeCell ref="C2:C4"/>
    <mergeCell ref="D2:G2"/>
    <mergeCell ref="H2:J2"/>
    <mergeCell ref="K2:M2"/>
    <mergeCell ref="N2:N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L23:N24"/>
    <mergeCell ref="L25:N26"/>
    <mergeCell ref="K27:L27"/>
    <mergeCell ref="L30:N31"/>
  </mergeCells>
  <conditionalFormatting sqref="N5:N20">
    <cfRule type="colorScale" priority="2">
      <colorScale>
        <cfvo type="min"/>
        <cfvo type="max"/>
        <color rgb="FFFCFCFF"/>
        <color rgb="FFF8696B"/>
      </colorScale>
    </cfRule>
  </conditionalFormatting>
  <conditionalFormatting sqref="Z5:Z20">
    <cfRule type="cellIs" dxfId="0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B1" zoomScale="70" zoomScaleNormal="70" workbookViewId="0">
      <selection activeCell="P4" sqref="P4:P19"/>
    </sheetView>
  </sheetViews>
  <sheetFormatPr defaultRowHeight="14.25" x14ac:dyDescent="0.2"/>
  <cols>
    <col min="1" max="1" width="23.375" customWidth="1"/>
    <col min="2" max="4" width="13.625" customWidth="1"/>
    <col min="5" max="5" width="27.875" customWidth="1"/>
    <col min="6" max="6" width="30.375" customWidth="1"/>
    <col min="7" max="7" width="24.75" customWidth="1"/>
    <col min="8" max="8" width="12.25" customWidth="1"/>
    <col min="9" max="13" width="10.625" customWidth="1"/>
    <col min="15" max="15" width="10.5" customWidth="1"/>
  </cols>
  <sheetData>
    <row r="1" spans="1:16" ht="30.75" thickBot="1" x14ac:dyDescent="0.45">
      <c r="A1" s="1" t="s">
        <v>101</v>
      </c>
      <c r="E1" s="292"/>
      <c r="H1" s="3" t="s">
        <v>0</v>
      </c>
      <c r="L1" s="293"/>
    </row>
    <row r="2" spans="1:16" ht="41.25" customHeight="1" x14ac:dyDescent="0.2">
      <c r="A2" s="638" t="s">
        <v>1</v>
      </c>
      <c r="B2" s="638" t="s">
        <v>2</v>
      </c>
      <c r="C2" s="638" t="s">
        <v>3</v>
      </c>
      <c r="D2" s="638" t="s">
        <v>4</v>
      </c>
      <c r="E2" s="641" t="s">
        <v>5</v>
      </c>
      <c r="F2" s="638" t="s">
        <v>6</v>
      </c>
      <c r="G2" s="647" t="s">
        <v>7</v>
      </c>
      <c r="H2" s="289" t="s">
        <v>8</v>
      </c>
      <c r="I2" s="649" t="s">
        <v>102</v>
      </c>
      <c r="J2" s="649" t="s">
        <v>103</v>
      </c>
      <c r="K2" s="649" t="s">
        <v>104</v>
      </c>
      <c r="L2" s="651" t="s">
        <v>105</v>
      </c>
      <c r="M2" s="651" t="s">
        <v>106</v>
      </c>
      <c r="N2" s="651" t="s">
        <v>107</v>
      </c>
    </row>
    <row r="3" spans="1:16" ht="21" customHeight="1" thickBot="1" x14ac:dyDescent="0.25">
      <c r="A3" s="640"/>
      <c r="B3" s="639"/>
      <c r="C3" s="639"/>
      <c r="D3" s="639"/>
      <c r="E3" s="642"/>
      <c r="F3" s="639"/>
      <c r="G3" s="661"/>
      <c r="H3" s="5"/>
      <c r="I3" s="650"/>
      <c r="J3" s="650"/>
      <c r="K3" s="650"/>
      <c r="L3" s="652"/>
      <c r="M3" s="662"/>
      <c r="N3" s="662"/>
    </row>
    <row r="4" spans="1:16" ht="35.1" customHeight="1" thickTop="1" thickBot="1" x14ac:dyDescent="0.6">
      <c r="A4" s="294" t="s">
        <v>12</v>
      </c>
      <c r="B4" s="295">
        <v>4.0199999999999996</v>
      </c>
      <c r="C4" s="296">
        <v>3.9</v>
      </c>
      <c r="D4" s="297">
        <v>2.9</v>
      </c>
      <c r="E4" s="298">
        <v>626849586.26999998</v>
      </c>
      <c r="F4" s="299">
        <v>21638347.719999999</v>
      </c>
      <c r="G4" s="6">
        <f>SUM(F4/9)</f>
        <v>2404260.8577777776</v>
      </c>
      <c r="H4" s="300">
        <f>SUM(E4/G4)</f>
        <v>260.72444853150739</v>
      </c>
      <c r="I4" s="7">
        <v>0</v>
      </c>
      <c r="J4" s="8">
        <v>0</v>
      </c>
      <c r="K4" s="8">
        <v>0</v>
      </c>
      <c r="L4" s="301">
        <f>SUM(I4:K4)</f>
        <v>0</v>
      </c>
      <c r="M4" s="301">
        <v>0</v>
      </c>
      <c r="N4" s="302">
        <v>0</v>
      </c>
      <c r="O4" t="s">
        <v>12</v>
      </c>
      <c r="P4" s="425">
        <v>0</v>
      </c>
    </row>
    <row r="5" spans="1:16" ht="35.1" customHeight="1" thickTop="1" thickBot="1" x14ac:dyDescent="0.6">
      <c r="A5" s="294" t="s">
        <v>13</v>
      </c>
      <c r="B5" s="303">
        <v>2.13</v>
      </c>
      <c r="C5" s="303">
        <v>1.94</v>
      </c>
      <c r="D5" s="303">
        <v>1.32</v>
      </c>
      <c r="E5" s="304">
        <v>76074009.629999995</v>
      </c>
      <c r="F5" s="305">
        <v>-1036669.96</v>
      </c>
      <c r="G5" s="6">
        <f t="shared" ref="G5:G19" si="0">SUM(F5/9)</f>
        <v>-115185.55111111111</v>
      </c>
      <c r="H5" s="9">
        <v>660.45</v>
      </c>
      <c r="I5" s="7">
        <v>0</v>
      </c>
      <c r="J5" s="306">
        <v>1</v>
      </c>
      <c r="K5" s="8">
        <v>0</v>
      </c>
      <c r="L5" s="307">
        <f t="shared" ref="L5:L19" si="1">SUM(I5:K5)</f>
        <v>1</v>
      </c>
      <c r="M5" s="301">
        <v>0</v>
      </c>
      <c r="N5" s="302">
        <v>0</v>
      </c>
      <c r="O5" t="s">
        <v>13</v>
      </c>
      <c r="P5" s="425">
        <v>1</v>
      </c>
    </row>
    <row r="6" spans="1:16" ht="35.1" customHeight="1" thickTop="1" thickBot="1" x14ac:dyDescent="0.6">
      <c r="A6" s="294" t="s">
        <v>14</v>
      </c>
      <c r="B6" s="308">
        <v>1.28</v>
      </c>
      <c r="C6" s="309">
        <v>1.1200000000000001</v>
      </c>
      <c r="D6" s="309">
        <v>0.87</v>
      </c>
      <c r="E6" s="310">
        <v>7675699.54</v>
      </c>
      <c r="F6" s="311">
        <v>-2179234.66</v>
      </c>
      <c r="G6" s="6">
        <f t="shared" si="0"/>
        <v>-242137.18444444446</v>
      </c>
      <c r="H6" s="9">
        <v>31.7</v>
      </c>
      <c r="I6" s="10">
        <v>1</v>
      </c>
      <c r="J6" s="11">
        <v>1</v>
      </c>
      <c r="K6" s="8">
        <v>0</v>
      </c>
      <c r="L6" s="307">
        <f t="shared" si="1"/>
        <v>2</v>
      </c>
      <c r="M6" s="312">
        <v>2</v>
      </c>
      <c r="N6" s="313">
        <v>2</v>
      </c>
      <c r="O6" t="s">
        <v>14</v>
      </c>
      <c r="P6" s="425">
        <v>2</v>
      </c>
    </row>
    <row r="7" spans="1:16" ht="35.1" customHeight="1" thickTop="1" thickBot="1" x14ac:dyDescent="0.6">
      <c r="A7" s="294" t="s">
        <v>15</v>
      </c>
      <c r="B7" s="314">
        <v>2.4</v>
      </c>
      <c r="C7" s="314">
        <v>2.21</v>
      </c>
      <c r="D7" s="314">
        <v>1.8</v>
      </c>
      <c r="E7" s="315">
        <v>20019002.68</v>
      </c>
      <c r="F7" s="316">
        <v>-2411070.87</v>
      </c>
      <c r="G7" s="6">
        <f t="shared" si="0"/>
        <v>-267896.76333333337</v>
      </c>
      <c r="H7" s="9">
        <v>74.73</v>
      </c>
      <c r="I7" s="7">
        <v>0</v>
      </c>
      <c r="J7" s="11">
        <v>1</v>
      </c>
      <c r="K7" s="8">
        <v>0</v>
      </c>
      <c r="L7" s="307">
        <f t="shared" si="1"/>
        <v>1</v>
      </c>
      <c r="M7" s="301">
        <v>1</v>
      </c>
      <c r="N7" s="302">
        <v>0</v>
      </c>
      <c r="O7" t="s">
        <v>15</v>
      </c>
      <c r="P7" s="425">
        <v>1</v>
      </c>
    </row>
    <row r="8" spans="1:16" ht="35.1" customHeight="1" thickTop="1" thickBot="1" x14ac:dyDescent="0.6">
      <c r="A8" s="294" t="s">
        <v>16</v>
      </c>
      <c r="B8" s="314">
        <v>2.08</v>
      </c>
      <c r="C8" s="314">
        <v>1.82</v>
      </c>
      <c r="D8" s="317">
        <v>1.59</v>
      </c>
      <c r="E8" s="318">
        <v>17022651.5</v>
      </c>
      <c r="F8" s="319">
        <v>-5177990.16</v>
      </c>
      <c r="G8" s="6">
        <f t="shared" si="0"/>
        <v>-575332.24</v>
      </c>
      <c r="H8" s="9">
        <v>29.59</v>
      </c>
      <c r="I8" s="7">
        <v>0</v>
      </c>
      <c r="J8" s="11">
        <v>1</v>
      </c>
      <c r="K8" s="8">
        <v>0</v>
      </c>
      <c r="L8" s="307">
        <f t="shared" si="1"/>
        <v>1</v>
      </c>
      <c r="M8" s="301">
        <v>1</v>
      </c>
      <c r="N8" s="302">
        <v>0</v>
      </c>
      <c r="O8" t="s">
        <v>16</v>
      </c>
      <c r="P8" s="425">
        <v>1</v>
      </c>
    </row>
    <row r="9" spans="1:16" ht="35.1" customHeight="1" thickTop="1" thickBot="1" x14ac:dyDescent="0.6">
      <c r="A9" s="294" t="s">
        <v>17</v>
      </c>
      <c r="B9" s="320">
        <v>1</v>
      </c>
      <c r="C9" s="320">
        <v>0.89</v>
      </c>
      <c r="D9" s="320">
        <v>0.72</v>
      </c>
      <c r="E9" s="321">
        <v>-65940.52</v>
      </c>
      <c r="F9" s="321">
        <v>-2147729.67</v>
      </c>
      <c r="G9" s="6">
        <f t="shared" si="0"/>
        <v>-238636.63</v>
      </c>
      <c r="H9" s="9">
        <f t="shared" ref="H9:H19" si="2">SUM(E9/G9)</f>
        <v>0.2763218706197787</v>
      </c>
      <c r="I9" s="10">
        <v>3</v>
      </c>
      <c r="J9" s="11">
        <v>2</v>
      </c>
      <c r="K9" s="11">
        <v>2</v>
      </c>
      <c r="L9" s="307">
        <f t="shared" si="1"/>
        <v>7</v>
      </c>
      <c r="M9" s="312">
        <v>5</v>
      </c>
      <c r="N9" s="313">
        <v>4</v>
      </c>
      <c r="O9" t="s">
        <v>17</v>
      </c>
      <c r="P9" s="425">
        <v>7</v>
      </c>
    </row>
    <row r="10" spans="1:16" ht="35.1" customHeight="1" thickTop="1" thickBot="1" x14ac:dyDescent="0.6">
      <c r="A10" s="294" t="s">
        <v>18</v>
      </c>
      <c r="B10" s="322">
        <v>4.5599999999999996</v>
      </c>
      <c r="C10" s="314">
        <v>4.18</v>
      </c>
      <c r="D10" s="322">
        <v>3.7</v>
      </c>
      <c r="E10" s="318">
        <v>95563729.719999999</v>
      </c>
      <c r="F10" s="323">
        <v>94282174.049999997</v>
      </c>
      <c r="G10" s="6">
        <f t="shared" si="0"/>
        <v>10475797.116666667</v>
      </c>
      <c r="H10" s="300">
        <f t="shared" si="2"/>
        <v>9.1223349073800861</v>
      </c>
      <c r="I10" s="7">
        <v>0</v>
      </c>
      <c r="J10" s="8">
        <v>0</v>
      </c>
      <c r="K10" s="8">
        <v>0</v>
      </c>
      <c r="L10" s="301">
        <f t="shared" si="1"/>
        <v>0</v>
      </c>
      <c r="M10" s="301">
        <v>0</v>
      </c>
      <c r="N10" s="302">
        <v>0</v>
      </c>
      <c r="O10" t="s">
        <v>18</v>
      </c>
      <c r="P10" s="425">
        <v>0</v>
      </c>
    </row>
    <row r="11" spans="1:16" ht="35.1" customHeight="1" thickTop="1" thickBot="1" x14ac:dyDescent="0.6">
      <c r="A11" s="294" t="s">
        <v>19</v>
      </c>
      <c r="B11" s="324">
        <v>1.03</v>
      </c>
      <c r="C11" s="324">
        <v>0.85</v>
      </c>
      <c r="D11" s="324">
        <v>0.54</v>
      </c>
      <c r="E11" s="323">
        <v>671771.9</v>
      </c>
      <c r="F11" s="319">
        <v>-12255630.57</v>
      </c>
      <c r="G11" s="6">
        <f t="shared" si="0"/>
        <v>-1361736.73</v>
      </c>
      <c r="H11" s="9">
        <v>0.49</v>
      </c>
      <c r="I11" s="10">
        <v>3</v>
      </c>
      <c r="J11" s="11">
        <v>1</v>
      </c>
      <c r="K11" s="11">
        <v>2</v>
      </c>
      <c r="L11" s="307">
        <f t="shared" si="1"/>
        <v>6</v>
      </c>
      <c r="M11" s="312">
        <v>6</v>
      </c>
      <c r="N11" s="313">
        <v>4</v>
      </c>
      <c r="O11" t="s">
        <v>19</v>
      </c>
      <c r="P11" s="425">
        <v>6</v>
      </c>
    </row>
    <row r="12" spans="1:16" ht="35.1" customHeight="1" thickTop="1" thickBot="1" x14ac:dyDescent="0.6">
      <c r="A12" s="294" t="s">
        <v>20</v>
      </c>
      <c r="B12" s="314">
        <v>1.62</v>
      </c>
      <c r="C12" s="322">
        <v>1.43</v>
      </c>
      <c r="D12" s="322">
        <v>1.1599999999999999</v>
      </c>
      <c r="E12" s="318">
        <v>9193172.8000000007</v>
      </c>
      <c r="F12" s="319">
        <v>-6071527.6600000001</v>
      </c>
      <c r="G12" s="6">
        <f t="shared" si="0"/>
        <v>-674614.18444444449</v>
      </c>
      <c r="H12" s="9">
        <v>13.63</v>
      </c>
      <c r="I12" s="7">
        <v>0</v>
      </c>
      <c r="J12" s="11">
        <v>1</v>
      </c>
      <c r="K12" s="8">
        <v>0</v>
      </c>
      <c r="L12" s="307">
        <f t="shared" si="1"/>
        <v>1</v>
      </c>
      <c r="M12" s="312">
        <v>1</v>
      </c>
      <c r="N12" s="313">
        <v>1</v>
      </c>
      <c r="O12" t="s">
        <v>20</v>
      </c>
      <c r="P12" s="425">
        <v>1</v>
      </c>
    </row>
    <row r="13" spans="1:16" ht="35.1" customHeight="1" thickTop="1" thickBot="1" x14ac:dyDescent="0.6">
      <c r="A13" s="294" t="s">
        <v>21</v>
      </c>
      <c r="B13" s="314">
        <v>1.62</v>
      </c>
      <c r="C13" s="322">
        <v>1.37</v>
      </c>
      <c r="D13" s="322">
        <v>1.02</v>
      </c>
      <c r="E13" s="323">
        <v>9090532.3800000008</v>
      </c>
      <c r="F13" s="319">
        <v>-2979560.35</v>
      </c>
      <c r="G13" s="6">
        <f t="shared" si="0"/>
        <v>-331062.26111111115</v>
      </c>
      <c r="H13" s="9">
        <v>27.46</v>
      </c>
      <c r="I13" s="7">
        <v>0</v>
      </c>
      <c r="J13" s="11">
        <v>1</v>
      </c>
      <c r="K13" s="8">
        <v>0</v>
      </c>
      <c r="L13" s="307">
        <f t="shared" si="1"/>
        <v>1</v>
      </c>
      <c r="M13" s="301">
        <v>1</v>
      </c>
      <c r="N13" s="302">
        <v>0</v>
      </c>
      <c r="O13" t="s">
        <v>21</v>
      </c>
      <c r="P13" s="425">
        <v>1</v>
      </c>
    </row>
    <row r="14" spans="1:16" ht="35.1" customHeight="1" thickTop="1" thickBot="1" x14ac:dyDescent="0.6">
      <c r="A14" s="294" t="s">
        <v>22</v>
      </c>
      <c r="B14" s="324">
        <v>1.39</v>
      </c>
      <c r="C14" s="322">
        <v>1.03</v>
      </c>
      <c r="D14" s="324">
        <v>0.67</v>
      </c>
      <c r="E14" s="323">
        <v>4331266.0999999996</v>
      </c>
      <c r="F14" s="323">
        <v>6991879.75</v>
      </c>
      <c r="G14" s="6">
        <f t="shared" si="0"/>
        <v>776875.52777777775</v>
      </c>
      <c r="H14" s="300">
        <f t="shared" si="2"/>
        <v>5.5752381753991118</v>
      </c>
      <c r="I14" s="10">
        <v>2</v>
      </c>
      <c r="J14" s="8">
        <v>0</v>
      </c>
      <c r="K14" s="8">
        <v>0</v>
      </c>
      <c r="L14" s="307">
        <f t="shared" si="1"/>
        <v>2</v>
      </c>
      <c r="M14" s="312">
        <v>3</v>
      </c>
      <c r="N14" s="313">
        <v>2</v>
      </c>
      <c r="O14" t="s">
        <v>22</v>
      </c>
      <c r="P14" s="425">
        <v>2</v>
      </c>
    </row>
    <row r="15" spans="1:16" ht="35.1" customHeight="1" thickTop="1" thickBot="1" x14ac:dyDescent="0.6">
      <c r="A15" s="294" t="s">
        <v>23</v>
      </c>
      <c r="B15" s="322">
        <v>6.06</v>
      </c>
      <c r="C15" s="325">
        <v>5.86</v>
      </c>
      <c r="D15" s="314">
        <v>5.57</v>
      </c>
      <c r="E15" s="318">
        <v>130912740.51000001</v>
      </c>
      <c r="F15" s="323">
        <v>39316300.969999999</v>
      </c>
      <c r="G15" s="6">
        <f t="shared" si="0"/>
        <v>4368477.8855555551</v>
      </c>
      <c r="H15" s="300">
        <f t="shared" si="2"/>
        <v>29.967586866552573</v>
      </c>
      <c r="I15" s="7">
        <v>0</v>
      </c>
      <c r="J15" s="8">
        <v>0</v>
      </c>
      <c r="K15" s="8">
        <v>0</v>
      </c>
      <c r="L15" s="301">
        <f t="shared" si="1"/>
        <v>0</v>
      </c>
      <c r="M15" s="301">
        <v>0</v>
      </c>
      <c r="N15" s="302">
        <v>0</v>
      </c>
      <c r="O15" t="s">
        <v>23</v>
      </c>
      <c r="P15" s="425">
        <v>0</v>
      </c>
    </row>
    <row r="16" spans="1:16" ht="35.1" customHeight="1" thickTop="1" thickBot="1" x14ac:dyDescent="0.6">
      <c r="A16" s="294" t="s">
        <v>24</v>
      </c>
      <c r="B16" s="314">
        <v>3.59</v>
      </c>
      <c r="C16" s="322">
        <v>3.35</v>
      </c>
      <c r="D16" s="314">
        <v>3.11</v>
      </c>
      <c r="E16" s="326">
        <v>12709402.92</v>
      </c>
      <c r="F16" s="327">
        <v>-2355395.0699999998</v>
      </c>
      <c r="G16" s="6">
        <f t="shared" si="0"/>
        <v>-261710.56333333332</v>
      </c>
      <c r="H16" s="9">
        <v>48.56</v>
      </c>
      <c r="I16" s="7">
        <v>0</v>
      </c>
      <c r="J16" s="11">
        <v>1</v>
      </c>
      <c r="K16" s="8">
        <v>0</v>
      </c>
      <c r="L16" s="307">
        <f t="shared" si="1"/>
        <v>1</v>
      </c>
      <c r="M16" s="312">
        <v>1</v>
      </c>
      <c r="N16" s="313">
        <v>1</v>
      </c>
      <c r="O16" t="s">
        <v>24</v>
      </c>
      <c r="P16" s="425">
        <v>1</v>
      </c>
    </row>
    <row r="17" spans="1:16" ht="35.1" customHeight="1" thickTop="1" thickBot="1" x14ac:dyDescent="0.6">
      <c r="A17" s="294" t="s">
        <v>25</v>
      </c>
      <c r="B17" s="328">
        <v>1.49</v>
      </c>
      <c r="C17" s="314">
        <v>1.34</v>
      </c>
      <c r="D17" s="324">
        <v>0.78</v>
      </c>
      <c r="E17" s="323">
        <v>7570221.8600000003</v>
      </c>
      <c r="F17" s="319">
        <v>-3071702.24</v>
      </c>
      <c r="G17" s="6">
        <f t="shared" si="0"/>
        <v>-341300.24888888892</v>
      </c>
      <c r="H17" s="9">
        <v>22.18</v>
      </c>
      <c r="I17" s="10">
        <v>2</v>
      </c>
      <c r="J17" s="11">
        <v>1</v>
      </c>
      <c r="K17" s="8">
        <v>0</v>
      </c>
      <c r="L17" s="307">
        <f t="shared" si="1"/>
        <v>3</v>
      </c>
      <c r="M17" s="312">
        <v>2</v>
      </c>
      <c r="N17" s="302">
        <v>0</v>
      </c>
      <c r="O17" t="s">
        <v>26</v>
      </c>
      <c r="P17" s="425">
        <v>3</v>
      </c>
    </row>
    <row r="18" spans="1:16" ht="35.1" customHeight="1" thickTop="1" thickBot="1" x14ac:dyDescent="0.6">
      <c r="A18" s="294" t="s">
        <v>26</v>
      </c>
      <c r="B18" s="324">
        <v>0.68</v>
      </c>
      <c r="C18" s="324">
        <v>0.55000000000000004</v>
      </c>
      <c r="D18" s="320">
        <v>0.38</v>
      </c>
      <c r="E18" s="321">
        <v>-5962766.7300000004</v>
      </c>
      <c r="F18" s="319">
        <v>-698970.61</v>
      </c>
      <c r="G18" s="6">
        <f t="shared" si="0"/>
        <v>-77663.401111111103</v>
      </c>
      <c r="H18" s="9">
        <f t="shared" si="2"/>
        <v>76.777048708814817</v>
      </c>
      <c r="I18" s="10">
        <v>3</v>
      </c>
      <c r="J18" s="11">
        <v>2</v>
      </c>
      <c r="K18" s="306">
        <v>2</v>
      </c>
      <c r="L18" s="307">
        <f t="shared" si="1"/>
        <v>7</v>
      </c>
      <c r="M18" s="312">
        <v>4</v>
      </c>
      <c r="N18" s="313">
        <v>4</v>
      </c>
      <c r="O18" t="s">
        <v>25</v>
      </c>
      <c r="P18" s="425">
        <v>7</v>
      </c>
    </row>
    <row r="19" spans="1:16" ht="35.1" customHeight="1" thickTop="1" thickBot="1" x14ac:dyDescent="0.6">
      <c r="A19" s="294" t="s">
        <v>27</v>
      </c>
      <c r="B19" s="320">
        <v>0.95</v>
      </c>
      <c r="C19" s="320">
        <v>0.78</v>
      </c>
      <c r="D19" s="320">
        <v>0.5</v>
      </c>
      <c r="E19" s="319">
        <v>-416934.64</v>
      </c>
      <c r="F19" s="319">
        <v>-4868082.0599999996</v>
      </c>
      <c r="G19" s="6">
        <f t="shared" si="0"/>
        <v>-540898.0066666666</v>
      </c>
      <c r="H19" s="9">
        <f t="shared" si="2"/>
        <v>0.77081933166919558</v>
      </c>
      <c r="I19" s="10">
        <v>3</v>
      </c>
      <c r="J19" s="11">
        <v>2</v>
      </c>
      <c r="K19" s="11">
        <v>2</v>
      </c>
      <c r="L19" s="307">
        <f t="shared" si="1"/>
        <v>7</v>
      </c>
      <c r="M19" s="312">
        <v>6</v>
      </c>
      <c r="N19" s="313">
        <v>4</v>
      </c>
      <c r="O19" t="s">
        <v>27</v>
      </c>
      <c r="P19" s="425">
        <v>7</v>
      </c>
    </row>
    <row r="20" spans="1:16" ht="9" customHeight="1" x14ac:dyDescent="0.35">
      <c r="B20" s="12"/>
      <c r="C20" s="12"/>
      <c r="D20" s="12"/>
      <c r="E20" s="12"/>
      <c r="F20" s="12"/>
      <c r="H20" s="13"/>
    </row>
    <row r="21" spans="1:16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  <c r="M21" s="41"/>
    </row>
    <row r="22" spans="1:16" ht="26.25" x14ac:dyDescent="0.55000000000000004">
      <c r="A22" s="288" t="s">
        <v>29</v>
      </c>
      <c r="B22" s="16"/>
      <c r="C22" s="16"/>
      <c r="D22" s="16"/>
      <c r="E22" s="16"/>
      <c r="F22" s="16"/>
      <c r="G22" s="23" t="s">
        <v>30</v>
      </c>
      <c r="H22" s="643" t="s">
        <v>31</v>
      </c>
      <c r="I22" s="643"/>
      <c r="J22" s="24" t="s">
        <v>32</v>
      </c>
      <c r="K22" s="25"/>
      <c r="L22" s="41"/>
      <c r="M22" s="41"/>
    </row>
    <row r="23" spans="1:16" ht="26.25" x14ac:dyDescent="0.55000000000000004">
      <c r="A23" s="288"/>
      <c r="B23" s="16"/>
      <c r="C23" s="16"/>
      <c r="D23" s="16"/>
      <c r="E23" s="16"/>
      <c r="F23" s="16"/>
      <c r="G23" s="27" t="s">
        <v>33</v>
      </c>
      <c r="H23" s="643"/>
      <c r="I23" s="643"/>
      <c r="J23" s="24" t="s">
        <v>34</v>
      </c>
      <c r="K23" s="25"/>
      <c r="L23" s="41"/>
      <c r="M23" s="41"/>
    </row>
    <row r="24" spans="1:16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108</v>
      </c>
      <c r="H24" s="643" t="s">
        <v>31</v>
      </c>
      <c r="I24" s="643"/>
      <c r="J24" s="644" t="s">
        <v>37</v>
      </c>
      <c r="K24" s="645"/>
      <c r="L24" s="645"/>
      <c r="M24" s="41"/>
    </row>
    <row r="25" spans="1:16" ht="26.25" x14ac:dyDescent="0.55000000000000004">
      <c r="A25" s="288"/>
      <c r="B25" s="16"/>
      <c r="C25" s="16"/>
      <c r="D25" s="16"/>
      <c r="E25" s="16"/>
      <c r="F25" s="16"/>
      <c r="G25" s="27" t="s">
        <v>33</v>
      </c>
      <c r="H25" s="643"/>
      <c r="I25" s="643"/>
      <c r="J25" s="24" t="s">
        <v>34</v>
      </c>
      <c r="K25" s="30"/>
      <c r="L25" s="34"/>
      <c r="M25" s="41"/>
    </row>
    <row r="26" spans="1:16" ht="26.25" x14ac:dyDescent="0.55000000000000004">
      <c r="A26" s="288" t="s">
        <v>38</v>
      </c>
      <c r="B26" s="16"/>
      <c r="C26" s="16"/>
      <c r="D26" s="16"/>
      <c r="E26" s="16"/>
      <c r="F26" s="27" t="s">
        <v>39</v>
      </c>
      <c r="G26" s="646" t="s">
        <v>31</v>
      </c>
      <c r="H26" s="646"/>
      <c r="I26" s="32" t="s">
        <v>40</v>
      </c>
      <c r="J26" s="33"/>
      <c r="K26" s="34"/>
      <c r="L26" s="34"/>
      <c r="M26" s="41"/>
    </row>
    <row r="27" spans="1:16" ht="26.25" x14ac:dyDescent="0.55000000000000004">
      <c r="A27" s="35" t="s">
        <v>41</v>
      </c>
      <c r="B27" s="16"/>
      <c r="C27" s="16"/>
      <c r="D27" s="16"/>
      <c r="E27" s="16"/>
      <c r="F27" s="36" t="s">
        <v>109</v>
      </c>
      <c r="G27" s="37"/>
      <c r="H27" s="38"/>
      <c r="I27" s="32" t="s">
        <v>43</v>
      </c>
      <c r="J27" s="33"/>
      <c r="K27" s="31"/>
      <c r="L27" s="34"/>
      <c r="M27" s="41"/>
    </row>
    <row r="28" spans="1:16" ht="11.25" customHeight="1" x14ac:dyDescent="0.55000000000000004">
      <c r="F28" s="16"/>
      <c r="G28" s="39"/>
      <c r="H28" s="40"/>
      <c r="I28" s="39"/>
      <c r="J28" s="39"/>
      <c r="K28" s="41"/>
      <c r="L28" s="41"/>
      <c r="M28" s="41"/>
    </row>
    <row r="29" spans="1:16" ht="23.25" customHeight="1" x14ac:dyDescent="0.55000000000000004">
      <c r="A29" s="39"/>
      <c r="B29" s="16"/>
      <c r="C29" s="16"/>
      <c r="D29" s="16"/>
      <c r="E29" s="16"/>
      <c r="F29" s="16"/>
      <c r="G29" s="23" t="s">
        <v>110</v>
      </c>
      <c r="H29" s="643" t="s">
        <v>31</v>
      </c>
      <c r="I29" s="643"/>
      <c r="J29" s="24" t="s">
        <v>32</v>
      </c>
      <c r="K29" s="25"/>
      <c r="L29" s="41"/>
      <c r="M29" s="41"/>
    </row>
    <row r="30" spans="1:16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43"/>
      <c r="I30" s="643"/>
      <c r="J30" s="24" t="s">
        <v>34</v>
      </c>
      <c r="K30" s="25"/>
      <c r="L30" s="41"/>
      <c r="M30" s="41"/>
    </row>
    <row r="31" spans="1:16" ht="26.25" x14ac:dyDescent="0.55000000000000004">
      <c r="A31" s="42" t="s">
        <v>111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  <c r="M31" s="41"/>
    </row>
    <row r="32" spans="1:16" ht="26.25" x14ac:dyDescent="0.55000000000000004">
      <c r="A32" s="288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  <c r="M32" s="41"/>
    </row>
    <row r="33" spans="1:13" ht="26.25" x14ac:dyDescent="0.55000000000000004">
      <c r="A33" s="42" t="s">
        <v>112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  <c r="M33" s="41"/>
    </row>
    <row r="34" spans="1:13" ht="26.25" x14ac:dyDescent="0.55000000000000004">
      <c r="A34" s="42" t="s">
        <v>113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  <c r="M34" s="41"/>
    </row>
    <row r="35" spans="1:13" ht="26.25" x14ac:dyDescent="0.55000000000000004">
      <c r="A35" s="42" t="s">
        <v>114</v>
      </c>
      <c r="B35" s="16"/>
      <c r="C35" s="288"/>
      <c r="D35" s="44"/>
      <c r="E35" s="44"/>
      <c r="F35" s="44"/>
      <c r="G35" s="45"/>
      <c r="H35" s="40"/>
      <c r="I35" s="39"/>
      <c r="J35" s="39"/>
      <c r="K35" s="41"/>
      <c r="L35" s="41"/>
      <c r="M35" s="41"/>
    </row>
    <row r="36" spans="1:13" ht="26.25" x14ac:dyDescent="0.55000000000000004">
      <c r="A36" s="39"/>
      <c r="B36" s="16"/>
      <c r="C36" s="288" t="s">
        <v>50</v>
      </c>
      <c r="D36" s="16"/>
      <c r="E36" s="16"/>
      <c r="F36" s="16"/>
      <c r="G36" s="39"/>
      <c r="H36" s="40"/>
      <c r="I36" s="39"/>
      <c r="J36" s="39"/>
      <c r="K36" s="41"/>
      <c r="L36" s="41"/>
      <c r="M36" s="41"/>
    </row>
    <row r="37" spans="1:13" ht="26.25" x14ac:dyDescent="0.55000000000000004">
      <c r="A37" s="39"/>
      <c r="B37" s="16"/>
      <c r="C37" s="288" t="s">
        <v>51</v>
      </c>
      <c r="D37" s="16"/>
      <c r="E37" s="16"/>
      <c r="F37" s="16"/>
      <c r="G37" s="39"/>
      <c r="H37" s="40"/>
      <c r="I37" s="39"/>
      <c r="J37" s="39"/>
      <c r="K37" s="41"/>
      <c r="L37" s="41"/>
      <c r="M37" s="41"/>
    </row>
    <row r="38" spans="1:13" ht="26.25" x14ac:dyDescent="0.55000000000000004">
      <c r="A38" s="39"/>
      <c r="B38" s="16"/>
      <c r="C38" s="288" t="s">
        <v>52</v>
      </c>
      <c r="D38" s="16"/>
      <c r="E38" s="16"/>
      <c r="F38" s="16"/>
      <c r="G38" s="39"/>
      <c r="H38" s="40"/>
      <c r="I38" s="39"/>
      <c r="J38" s="39"/>
      <c r="K38" s="41"/>
      <c r="L38" s="41"/>
      <c r="M38" s="41"/>
    </row>
    <row r="39" spans="1:13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  <c r="M39" s="41"/>
    </row>
    <row r="40" spans="1:13" ht="26.25" x14ac:dyDescent="0.55000000000000004">
      <c r="A40" s="42" t="s">
        <v>115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  <c r="M40" s="41"/>
    </row>
    <row r="41" spans="1:13" s="47" customFormat="1" ht="26.25" x14ac:dyDescent="0.55000000000000004">
      <c r="A41" s="663" t="s">
        <v>116</v>
      </c>
      <c r="B41" s="663"/>
      <c r="C41" s="663"/>
      <c r="D41" s="16"/>
      <c r="E41" s="16"/>
      <c r="F41" s="16"/>
      <c r="G41" s="16"/>
      <c r="H41" s="46"/>
      <c r="I41" s="39"/>
      <c r="J41" s="39"/>
      <c r="K41" s="39"/>
      <c r="L41" s="39"/>
      <c r="M41" s="41"/>
    </row>
    <row r="45" spans="1:13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  <c r="M45" s="329"/>
    </row>
    <row r="48" spans="1:13" ht="15" x14ac:dyDescent="0.2">
      <c r="I48" s="55"/>
      <c r="J48" s="55"/>
      <c r="K48" s="55"/>
      <c r="L48" s="55"/>
      <c r="M48" s="55"/>
    </row>
  </sheetData>
  <mergeCells count="19">
    <mergeCell ref="C2:C3"/>
    <mergeCell ref="D2:D3"/>
    <mergeCell ref="E2:E3"/>
    <mergeCell ref="F2:F3"/>
    <mergeCell ref="A41:C41"/>
    <mergeCell ref="A2:A3"/>
    <mergeCell ref="B2:B3"/>
    <mergeCell ref="N2:N3"/>
    <mergeCell ref="H22:I23"/>
    <mergeCell ref="H24:I25"/>
    <mergeCell ref="J24:L24"/>
    <mergeCell ref="G26:H26"/>
    <mergeCell ref="L2:L3"/>
    <mergeCell ref="M2:M3"/>
    <mergeCell ref="H29:I30"/>
    <mergeCell ref="G2:G3"/>
    <mergeCell ref="I2:I3"/>
    <mergeCell ref="J2:J3"/>
    <mergeCell ref="K2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60" zoomScaleNormal="60" workbookViewId="0">
      <selection activeCell="F10" sqref="F10"/>
    </sheetView>
  </sheetViews>
  <sheetFormatPr defaultRowHeight="14.25" x14ac:dyDescent="0.2"/>
  <cols>
    <col min="1" max="1" width="23.375" customWidth="1"/>
    <col min="2" max="4" width="13.625" customWidth="1"/>
    <col min="5" max="5" width="27.875" customWidth="1"/>
    <col min="6" max="6" width="30.375" customWidth="1"/>
    <col min="7" max="7" width="24.75" customWidth="1"/>
    <col min="8" max="8" width="12.25" customWidth="1"/>
    <col min="9" max="9" width="13" customWidth="1"/>
    <col min="10" max="14" width="10.625" customWidth="1"/>
  </cols>
  <sheetData>
    <row r="1" spans="1:15" ht="30.75" thickBot="1" x14ac:dyDescent="0.45">
      <c r="A1" s="1" t="s">
        <v>117</v>
      </c>
      <c r="E1" s="292"/>
      <c r="H1" s="3" t="s">
        <v>0</v>
      </c>
      <c r="M1" s="293"/>
    </row>
    <row r="2" spans="1:15" ht="41.25" customHeight="1" x14ac:dyDescent="0.2">
      <c r="A2" s="638" t="s">
        <v>1</v>
      </c>
      <c r="B2" s="638" t="s">
        <v>2</v>
      </c>
      <c r="C2" s="638" t="s">
        <v>3</v>
      </c>
      <c r="D2" s="638" t="s">
        <v>4</v>
      </c>
      <c r="E2" s="641" t="s">
        <v>5</v>
      </c>
      <c r="F2" s="638" t="s">
        <v>6</v>
      </c>
      <c r="G2" s="647" t="s">
        <v>7</v>
      </c>
      <c r="H2" s="289" t="s">
        <v>8</v>
      </c>
      <c r="I2" s="649" t="s">
        <v>9</v>
      </c>
      <c r="J2" s="649" t="s">
        <v>10</v>
      </c>
      <c r="K2" s="649" t="s">
        <v>11</v>
      </c>
      <c r="L2" s="651" t="s">
        <v>118</v>
      </c>
      <c r="M2" s="651" t="s">
        <v>105</v>
      </c>
      <c r="N2" s="651" t="s">
        <v>106</v>
      </c>
      <c r="O2" s="651" t="s">
        <v>107</v>
      </c>
    </row>
    <row r="3" spans="1:15" ht="40.5" customHeight="1" thickBot="1" x14ac:dyDescent="0.25">
      <c r="A3" s="640"/>
      <c r="B3" s="639"/>
      <c r="C3" s="639"/>
      <c r="D3" s="639"/>
      <c r="E3" s="642"/>
      <c r="F3" s="639"/>
      <c r="G3" s="661"/>
      <c r="H3" s="5"/>
      <c r="I3" s="650"/>
      <c r="J3" s="650"/>
      <c r="K3" s="650"/>
      <c r="L3" s="662"/>
      <c r="M3" s="662"/>
      <c r="N3" s="662"/>
      <c r="O3" s="662"/>
    </row>
    <row r="4" spans="1:15" ht="35.1" customHeight="1" thickTop="1" thickBot="1" x14ac:dyDescent="0.6">
      <c r="A4" s="294" t="s">
        <v>12</v>
      </c>
      <c r="B4" s="295">
        <v>4.22</v>
      </c>
      <c r="C4" s="296">
        <v>4.07</v>
      </c>
      <c r="D4" s="297">
        <v>2.83</v>
      </c>
      <c r="E4" s="298">
        <v>602762619.26999998</v>
      </c>
      <c r="F4" s="299">
        <v>5988675.7400000002</v>
      </c>
      <c r="G4" s="6">
        <f>SUM(F4/10)</f>
        <v>598867.57400000002</v>
      </c>
      <c r="H4" s="300">
        <f>SUM(E4/G4)</f>
        <v>1006.5040176478146</v>
      </c>
      <c r="I4" s="7">
        <v>0</v>
      </c>
      <c r="J4" s="8">
        <v>0</v>
      </c>
      <c r="K4" s="8">
        <v>0</v>
      </c>
      <c r="L4" s="8">
        <f>SUM(I4:K4)</f>
        <v>0</v>
      </c>
      <c r="M4" s="330">
        <v>0</v>
      </c>
      <c r="N4" s="301">
        <v>0</v>
      </c>
      <c r="O4" s="302">
        <v>0</v>
      </c>
    </row>
    <row r="5" spans="1:15" ht="35.1" customHeight="1" thickTop="1" thickBot="1" x14ac:dyDescent="0.6">
      <c r="A5" s="294" t="s">
        <v>13</v>
      </c>
      <c r="B5" s="303">
        <v>1.94</v>
      </c>
      <c r="C5" s="303">
        <v>1.72</v>
      </c>
      <c r="D5" s="303">
        <v>1.08</v>
      </c>
      <c r="E5" s="304">
        <v>64979444.880000003</v>
      </c>
      <c r="F5" s="305">
        <v>-11543632.67</v>
      </c>
      <c r="G5" s="6">
        <f t="shared" ref="G5:G19" si="0">SUM(F5/10)</f>
        <v>-1154363.267</v>
      </c>
      <c r="H5" s="9">
        <f t="shared" ref="H5:H19" si="1">SUM(E5/G5)</f>
        <v>-56.290291572488165</v>
      </c>
      <c r="I5" s="7">
        <v>0</v>
      </c>
      <c r="J5" s="306">
        <v>1</v>
      </c>
      <c r="K5" s="8">
        <v>0</v>
      </c>
      <c r="L5" s="11">
        <f t="shared" ref="L5:L19" si="2">SUM(I5:K5)</f>
        <v>1</v>
      </c>
      <c r="M5" s="331">
        <v>1</v>
      </c>
      <c r="N5" s="301">
        <v>0</v>
      </c>
      <c r="O5" s="302">
        <v>0</v>
      </c>
    </row>
    <row r="6" spans="1:15" ht="35.1" customHeight="1" thickTop="1" thickBot="1" x14ac:dyDescent="0.6">
      <c r="A6" s="294" t="s">
        <v>14</v>
      </c>
      <c r="B6" s="332">
        <v>1.26</v>
      </c>
      <c r="C6" s="309">
        <v>1.0900000000000001</v>
      </c>
      <c r="D6" s="309">
        <v>0.87</v>
      </c>
      <c r="E6" s="310">
        <v>6998421.5099999998</v>
      </c>
      <c r="F6" s="311">
        <v>-3088013.02</v>
      </c>
      <c r="G6" s="6">
        <f t="shared" si="0"/>
        <v>-308801.30200000003</v>
      </c>
      <c r="H6" s="9">
        <f t="shared" si="1"/>
        <v>-22.66318653669407</v>
      </c>
      <c r="I6" s="10">
        <v>1</v>
      </c>
      <c r="J6" s="11">
        <v>1</v>
      </c>
      <c r="K6" s="8">
        <v>0</v>
      </c>
      <c r="L6" s="11">
        <f t="shared" si="2"/>
        <v>2</v>
      </c>
      <c r="M6" s="331">
        <v>2</v>
      </c>
      <c r="N6" s="312">
        <v>2</v>
      </c>
      <c r="O6" s="313">
        <v>2</v>
      </c>
    </row>
    <row r="7" spans="1:15" ht="35.1" customHeight="1" thickTop="1" thickBot="1" x14ac:dyDescent="0.6">
      <c r="A7" s="294" t="s">
        <v>15</v>
      </c>
      <c r="B7" s="314">
        <v>2.15</v>
      </c>
      <c r="C7" s="314">
        <v>1.98</v>
      </c>
      <c r="D7" s="314">
        <v>1.56</v>
      </c>
      <c r="E7" s="315">
        <v>18448982.059999999</v>
      </c>
      <c r="F7" s="316">
        <v>-4322403.07</v>
      </c>
      <c r="G7" s="6">
        <f t="shared" si="0"/>
        <v>-432240.30700000003</v>
      </c>
      <c r="H7" s="9">
        <f t="shared" si="1"/>
        <v>-42.68223430629758</v>
      </c>
      <c r="I7" s="7">
        <v>0</v>
      </c>
      <c r="J7" s="11">
        <v>1</v>
      </c>
      <c r="K7" s="8">
        <v>0</v>
      </c>
      <c r="L7" s="11">
        <f t="shared" si="2"/>
        <v>1</v>
      </c>
      <c r="M7" s="331">
        <v>1</v>
      </c>
      <c r="N7" s="312">
        <v>1</v>
      </c>
      <c r="O7" s="302">
        <v>0</v>
      </c>
    </row>
    <row r="8" spans="1:15" ht="35.1" customHeight="1" thickTop="1" thickBot="1" x14ac:dyDescent="0.6">
      <c r="A8" s="294" t="s">
        <v>16</v>
      </c>
      <c r="B8" s="314">
        <v>2.02</v>
      </c>
      <c r="C8" s="314">
        <v>1.78</v>
      </c>
      <c r="D8" s="317">
        <v>1.54</v>
      </c>
      <c r="E8" s="318">
        <v>15554372.279999999</v>
      </c>
      <c r="F8" s="319">
        <v>-6296157.6799999997</v>
      </c>
      <c r="G8" s="6">
        <f t="shared" si="0"/>
        <v>-629615.76799999992</v>
      </c>
      <c r="H8" s="9">
        <f t="shared" si="1"/>
        <v>-24.704546916620426</v>
      </c>
      <c r="I8" s="7">
        <v>0</v>
      </c>
      <c r="J8" s="11">
        <v>1</v>
      </c>
      <c r="K8" s="8">
        <v>0</v>
      </c>
      <c r="L8" s="11">
        <f t="shared" si="2"/>
        <v>1</v>
      </c>
      <c r="M8" s="331">
        <v>1</v>
      </c>
      <c r="N8" s="312">
        <v>1</v>
      </c>
      <c r="O8" s="302">
        <v>0</v>
      </c>
    </row>
    <row r="9" spans="1:15" ht="35.1" customHeight="1" thickTop="1" thickBot="1" x14ac:dyDescent="0.6">
      <c r="A9" s="294" t="s">
        <v>17</v>
      </c>
      <c r="B9" s="333">
        <v>0.96</v>
      </c>
      <c r="C9" s="333">
        <v>0.83</v>
      </c>
      <c r="D9" s="333">
        <v>0.71</v>
      </c>
      <c r="E9" s="321">
        <v>-816894.54</v>
      </c>
      <c r="F9" s="321">
        <v>-3020959.41</v>
      </c>
      <c r="G9" s="6">
        <f t="shared" si="0"/>
        <v>-302095.94099999999</v>
      </c>
      <c r="H9" s="9">
        <f t="shared" si="1"/>
        <v>2.7040897580282288</v>
      </c>
      <c r="I9" s="10">
        <v>3</v>
      </c>
      <c r="J9" s="11">
        <v>2</v>
      </c>
      <c r="K9" s="11">
        <v>2</v>
      </c>
      <c r="L9" s="11">
        <f t="shared" si="2"/>
        <v>7</v>
      </c>
      <c r="M9" s="331">
        <v>7</v>
      </c>
      <c r="N9" s="312">
        <v>5</v>
      </c>
      <c r="O9" s="313">
        <v>4</v>
      </c>
    </row>
    <row r="10" spans="1:15" ht="35.1" customHeight="1" thickTop="1" thickBot="1" x14ac:dyDescent="0.6">
      <c r="A10" s="294" t="s">
        <v>18</v>
      </c>
      <c r="B10" s="322">
        <v>4.42</v>
      </c>
      <c r="C10" s="314">
        <v>4.07</v>
      </c>
      <c r="D10" s="322">
        <v>3.49</v>
      </c>
      <c r="E10" s="318">
        <v>90590686.299999997</v>
      </c>
      <c r="F10" s="323">
        <v>93634367.290000007</v>
      </c>
      <c r="G10" s="6">
        <f t="shared" si="0"/>
        <v>9363436.7290000003</v>
      </c>
      <c r="H10" s="300">
        <f t="shared" si="1"/>
        <v>9.6749397600377591</v>
      </c>
      <c r="I10" s="7">
        <v>0</v>
      </c>
      <c r="J10" s="8">
        <v>0</v>
      </c>
      <c r="K10" s="8">
        <v>0</v>
      </c>
      <c r="L10" s="8">
        <f t="shared" si="2"/>
        <v>0</v>
      </c>
      <c r="M10" s="330">
        <v>0</v>
      </c>
      <c r="N10" s="301">
        <v>0</v>
      </c>
      <c r="O10" s="302">
        <v>0</v>
      </c>
    </row>
    <row r="11" spans="1:15" ht="35.1" customHeight="1" thickTop="1" thickBot="1" x14ac:dyDescent="0.6">
      <c r="A11" s="294" t="s">
        <v>19</v>
      </c>
      <c r="B11" s="334">
        <v>1.1399999999999999</v>
      </c>
      <c r="C11" s="334">
        <v>0.91</v>
      </c>
      <c r="D11" s="334">
        <v>0.6</v>
      </c>
      <c r="E11" s="323">
        <v>2783915.1</v>
      </c>
      <c r="F11" s="319">
        <v>-12106375.029999999</v>
      </c>
      <c r="G11" s="6">
        <f t="shared" si="0"/>
        <v>-1210637.503</v>
      </c>
      <c r="H11" s="9">
        <f t="shared" si="1"/>
        <v>-2.2995447382898395</v>
      </c>
      <c r="I11" s="10">
        <v>3</v>
      </c>
      <c r="J11" s="11">
        <v>1</v>
      </c>
      <c r="K11" s="11">
        <v>2</v>
      </c>
      <c r="L11" s="11">
        <f t="shared" si="2"/>
        <v>6</v>
      </c>
      <c r="M11" s="331">
        <v>6</v>
      </c>
      <c r="N11" s="312">
        <v>6</v>
      </c>
      <c r="O11" s="313">
        <v>4</v>
      </c>
    </row>
    <row r="12" spans="1:15" ht="35.1" customHeight="1" thickTop="1" thickBot="1" x14ac:dyDescent="0.6">
      <c r="A12" s="294" t="s">
        <v>20</v>
      </c>
      <c r="B12" s="333">
        <v>1.38</v>
      </c>
      <c r="C12" s="322">
        <v>1.22</v>
      </c>
      <c r="D12" s="322">
        <v>1</v>
      </c>
      <c r="E12" s="318">
        <v>6224224.0499999998</v>
      </c>
      <c r="F12" s="319">
        <v>-8692557.9499999993</v>
      </c>
      <c r="G12" s="6">
        <f t="shared" si="0"/>
        <v>-869255.79499999993</v>
      </c>
      <c r="H12" s="9">
        <f t="shared" si="1"/>
        <v>-7.1604055857919251</v>
      </c>
      <c r="I12" s="10">
        <v>1</v>
      </c>
      <c r="J12" s="11">
        <v>1</v>
      </c>
      <c r="K12" s="8">
        <v>0</v>
      </c>
      <c r="L12" s="11">
        <f t="shared" si="2"/>
        <v>2</v>
      </c>
      <c r="M12" s="331">
        <v>1</v>
      </c>
      <c r="N12" s="312">
        <v>1</v>
      </c>
      <c r="O12" s="313">
        <v>1</v>
      </c>
    </row>
    <row r="13" spans="1:15" ht="35.1" customHeight="1" thickTop="1" thickBot="1" x14ac:dyDescent="0.6">
      <c r="A13" s="294" t="s">
        <v>21</v>
      </c>
      <c r="B13" s="314">
        <v>1.82</v>
      </c>
      <c r="C13" s="322">
        <v>1.56</v>
      </c>
      <c r="D13" s="322">
        <v>1.17</v>
      </c>
      <c r="E13" s="323">
        <v>11648585.93</v>
      </c>
      <c r="F13" s="319">
        <v>-3749486.82</v>
      </c>
      <c r="G13" s="6">
        <f t="shared" si="0"/>
        <v>-374948.68199999997</v>
      </c>
      <c r="H13" s="9">
        <f t="shared" si="1"/>
        <v>-31.067147290305719</v>
      </c>
      <c r="I13" s="7">
        <v>0</v>
      </c>
      <c r="J13" s="11">
        <v>1</v>
      </c>
      <c r="K13" s="8">
        <v>0</v>
      </c>
      <c r="L13" s="11">
        <f t="shared" si="2"/>
        <v>1</v>
      </c>
      <c r="M13" s="331">
        <v>1</v>
      </c>
      <c r="N13" s="312">
        <v>1</v>
      </c>
      <c r="O13" s="302">
        <v>0</v>
      </c>
    </row>
    <row r="14" spans="1:15" ht="35.1" customHeight="1" thickTop="1" thickBot="1" x14ac:dyDescent="0.6">
      <c r="A14" s="294" t="s">
        <v>22</v>
      </c>
      <c r="B14" s="334">
        <v>1.35</v>
      </c>
      <c r="C14" s="334">
        <v>0.89</v>
      </c>
      <c r="D14" s="334">
        <v>0.48</v>
      </c>
      <c r="E14" s="323">
        <v>3720756.95</v>
      </c>
      <c r="F14" s="323">
        <v>6358858.7300000004</v>
      </c>
      <c r="G14" s="6">
        <f t="shared" si="0"/>
        <v>635885.87300000002</v>
      </c>
      <c r="H14" s="300">
        <f t="shared" si="1"/>
        <v>5.851296762493102</v>
      </c>
      <c r="I14" s="10">
        <v>3</v>
      </c>
      <c r="J14" s="8">
        <v>0</v>
      </c>
      <c r="K14" s="8">
        <v>0</v>
      </c>
      <c r="L14" s="11">
        <f t="shared" si="2"/>
        <v>3</v>
      </c>
      <c r="M14" s="331">
        <v>2</v>
      </c>
      <c r="N14" s="312">
        <v>3</v>
      </c>
      <c r="O14" s="313">
        <v>2</v>
      </c>
    </row>
    <row r="15" spans="1:15" ht="35.1" customHeight="1" thickTop="1" thickBot="1" x14ac:dyDescent="0.6">
      <c r="A15" s="294" t="s">
        <v>23</v>
      </c>
      <c r="B15" s="322">
        <v>5.6</v>
      </c>
      <c r="C15" s="325">
        <v>5.41</v>
      </c>
      <c r="D15" s="314">
        <v>5.12</v>
      </c>
      <c r="E15" s="318">
        <v>126964533.90000001</v>
      </c>
      <c r="F15" s="323">
        <v>49640582.789999999</v>
      </c>
      <c r="G15" s="6">
        <f t="shared" si="0"/>
        <v>4964058.2790000001</v>
      </c>
      <c r="H15" s="300">
        <f t="shared" si="1"/>
        <v>25.576761344062376</v>
      </c>
      <c r="I15" s="7">
        <v>0</v>
      </c>
      <c r="J15" s="8">
        <v>0</v>
      </c>
      <c r="K15" s="8">
        <v>0</v>
      </c>
      <c r="L15" s="8">
        <f t="shared" si="2"/>
        <v>0</v>
      </c>
      <c r="M15" s="330">
        <v>0</v>
      </c>
      <c r="N15" s="301">
        <v>0</v>
      </c>
      <c r="O15" s="302">
        <v>0</v>
      </c>
    </row>
    <row r="16" spans="1:15" ht="35.1" customHeight="1" thickTop="1" thickBot="1" x14ac:dyDescent="0.6">
      <c r="A16" s="294" t="s">
        <v>24</v>
      </c>
      <c r="B16" s="314">
        <v>3.67</v>
      </c>
      <c r="C16" s="322">
        <v>3.39</v>
      </c>
      <c r="D16" s="314">
        <v>3.11</v>
      </c>
      <c r="E16" s="326">
        <v>12470354.02</v>
      </c>
      <c r="F16" s="335">
        <v>-2723382.28</v>
      </c>
      <c r="G16" s="6">
        <f t="shared" si="0"/>
        <v>-272338.228</v>
      </c>
      <c r="H16" s="9">
        <f t="shared" si="1"/>
        <v>-45.789950649161156</v>
      </c>
      <c r="I16" s="7">
        <v>0</v>
      </c>
      <c r="J16" s="11">
        <v>1</v>
      </c>
      <c r="K16" s="8">
        <v>0</v>
      </c>
      <c r="L16" s="11">
        <f t="shared" si="2"/>
        <v>1</v>
      </c>
      <c r="M16" s="330">
        <v>1</v>
      </c>
      <c r="N16" s="312">
        <v>1</v>
      </c>
      <c r="O16" s="313">
        <v>1</v>
      </c>
    </row>
    <row r="17" spans="1:15" ht="35.1" customHeight="1" thickTop="1" thickBot="1" x14ac:dyDescent="0.6">
      <c r="A17" s="294" t="s">
        <v>25</v>
      </c>
      <c r="B17" s="336">
        <v>1.42</v>
      </c>
      <c r="C17" s="314">
        <v>1.27</v>
      </c>
      <c r="D17" s="334">
        <v>0.68</v>
      </c>
      <c r="E17" s="323">
        <v>6935784.75</v>
      </c>
      <c r="F17" s="319">
        <v>-4283281.72</v>
      </c>
      <c r="G17" s="6">
        <f t="shared" si="0"/>
        <v>-428328.17199999996</v>
      </c>
      <c r="H17" s="9">
        <f t="shared" si="1"/>
        <v>-16.192688698515028</v>
      </c>
      <c r="I17" s="10">
        <v>2</v>
      </c>
      <c r="J17" s="11">
        <v>1</v>
      </c>
      <c r="K17" s="8">
        <v>0</v>
      </c>
      <c r="L17" s="11">
        <f t="shared" si="2"/>
        <v>3</v>
      </c>
      <c r="M17" s="330">
        <v>3</v>
      </c>
      <c r="N17" s="312">
        <v>2</v>
      </c>
      <c r="O17" s="302">
        <v>0</v>
      </c>
    </row>
    <row r="18" spans="1:15" ht="35.1" customHeight="1" thickTop="1" thickBot="1" x14ac:dyDescent="0.6">
      <c r="A18" s="294" t="s">
        <v>26</v>
      </c>
      <c r="B18" s="334">
        <v>0.65</v>
      </c>
      <c r="C18" s="334">
        <v>0.52</v>
      </c>
      <c r="D18" s="333">
        <v>0.35</v>
      </c>
      <c r="E18" s="321">
        <v>-6532670.6100000003</v>
      </c>
      <c r="F18" s="319">
        <v>-1508262.92</v>
      </c>
      <c r="G18" s="6">
        <f t="shared" si="0"/>
        <v>-150826.29199999999</v>
      </c>
      <c r="H18" s="9">
        <f t="shared" si="1"/>
        <v>43.312545335265561</v>
      </c>
      <c r="I18" s="10">
        <v>3</v>
      </c>
      <c r="J18" s="11">
        <v>2</v>
      </c>
      <c r="K18" s="306">
        <v>2</v>
      </c>
      <c r="L18" s="11">
        <f t="shared" si="2"/>
        <v>7</v>
      </c>
      <c r="M18" s="331">
        <v>7</v>
      </c>
      <c r="N18" s="312">
        <v>4</v>
      </c>
      <c r="O18" s="313">
        <v>4</v>
      </c>
    </row>
    <row r="19" spans="1:15" ht="35.1" customHeight="1" thickTop="1" thickBot="1" x14ac:dyDescent="0.6">
      <c r="A19" s="294" t="s">
        <v>27</v>
      </c>
      <c r="B19" s="333">
        <v>0.91</v>
      </c>
      <c r="C19" s="333">
        <v>0.75</v>
      </c>
      <c r="D19" s="333">
        <v>0.39</v>
      </c>
      <c r="E19" s="319">
        <v>-701623.16</v>
      </c>
      <c r="F19" s="319">
        <v>-5612207.0800000001</v>
      </c>
      <c r="G19" s="6">
        <f t="shared" si="0"/>
        <v>-561220.70799999998</v>
      </c>
      <c r="H19" s="9">
        <f t="shared" si="1"/>
        <v>1.2501733275315994</v>
      </c>
      <c r="I19" s="10">
        <v>3</v>
      </c>
      <c r="J19" s="11">
        <v>2</v>
      </c>
      <c r="K19" s="11">
        <v>2</v>
      </c>
      <c r="L19" s="11">
        <f t="shared" si="2"/>
        <v>7</v>
      </c>
      <c r="M19" s="331">
        <v>7</v>
      </c>
      <c r="N19" s="312">
        <v>6</v>
      </c>
      <c r="O19" s="313">
        <v>4</v>
      </c>
    </row>
    <row r="20" spans="1:15" ht="9" customHeight="1" x14ac:dyDescent="0.35">
      <c r="B20" s="12"/>
      <c r="C20" s="12"/>
      <c r="D20" s="12"/>
      <c r="E20" s="12"/>
      <c r="F20" s="12"/>
      <c r="H20" s="13"/>
    </row>
    <row r="21" spans="1:15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  <c r="M21" s="21"/>
      <c r="N21" s="41"/>
    </row>
    <row r="22" spans="1:15" ht="26.25" x14ac:dyDescent="0.55000000000000004">
      <c r="A22" s="288" t="s">
        <v>29</v>
      </c>
      <c r="B22" s="16"/>
      <c r="C22" s="16"/>
      <c r="D22" s="16"/>
      <c r="E22" s="16"/>
      <c r="F22" s="16"/>
      <c r="G22" s="23" t="s">
        <v>30</v>
      </c>
      <c r="H22" s="643" t="s">
        <v>31</v>
      </c>
      <c r="I22" s="643"/>
      <c r="J22" s="24" t="s">
        <v>32</v>
      </c>
      <c r="K22" s="25"/>
      <c r="L22" s="26"/>
      <c r="M22" s="41"/>
      <c r="N22" s="41"/>
    </row>
    <row r="23" spans="1:15" ht="26.25" x14ac:dyDescent="0.55000000000000004">
      <c r="A23" s="288"/>
      <c r="B23" s="16"/>
      <c r="C23" s="16"/>
      <c r="D23" s="16"/>
      <c r="E23" s="16"/>
      <c r="F23" s="16"/>
      <c r="G23" s="27" t="s">
        <v>33</v>
      </c>
      <c r="H23" s="643"/>
      <c r="I23" s="643"/>
      <c r="J23" s="24" t="s">
        <v>34</v>
      </c>
      <c r="K23" s="25"/>
      <c r="L23" s="26"/>
      <c r="M23" s="41"/>
      <c r="N23" s="41"/>
    </row>
    <row r="24" spans="1:15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108</v>
      </c>
      <c r="H24" s="643" t="s">
        <v>31</v>
      </c>
      <c r="I24" s="643"/>
      <c r="J24" s="644" t="s">
        <v>37</v>
      </c>
      <c r="K24" s="645"/>
      <c r="L24" s="645"/>
      <c r="M24" s="645"/>
      <c r="N24" s="41"/>
    </row>
    <row r="25" spans="1:15" ht="26.25" x14ac:dyDescent="0.55000000000000004">
      <c r="A25" s="288"/>
      <c r="B25" s="16"/>
      <c r="C25" s="16"/>
      <c r="D25" s="16"/>
      <c r="E25" s="16"/>
      <c r="F25" s="16"/>
      <c r="G25" s="27" t="s">
        <v>33</v>
      </c>
      <c r="H25" s="643"/>
      <c r="I25" s="643"/>
      <c r="J25" s="24" t="s">
        <v>34</v>
      </c>
      <c r="K25" s="30"/>
      <c r="L25" s="31"/>
      <c r="M25" s="34"/>
      <c r="N25" s="41"/>
    </row>
    <row r="26" spans="1:15" ht="26.25" x14ac:dyDescent="0.55000000000000004">
      <c r="A26" s="288" t="s">
        <v>38</v>
      </c>
      <c r="B26" s="16"/>
      <c r="C26" s="16"/>
      <c r="D26" s="16"/>
      <c r="E26" s="16"/>
      <c r="F26" s="27" t="s">
        <v>39</v>
      </c>
      <c r="G26" s="646" t="s">
        <v>31</v>
      </c>
      <c r="H26" s="646"/>
      <c r="I26" s="32" t="s">
        <v>40</v>
      </c>
      <c r="J26" s="33"/>
      <c r="K26" s="34"/>
      <c r="L26" s="34"/>
      <c r="M26" s="34"/>
      <c r="N26" s="41"/>
    </row>
    <row r="27" spans="1:15" ht="26.25" x14ac:dyDescent="0.55000000000000004">
      <c r="A27" s="35" t="s">
        <v>41</v>
      </c>
      <c r="B27" s="16"/>
      <c r="C27" s="16"/>
      <c r="D27" s="16"/>
      <c r="E27" s="16"/>
      <c r="F27" s="36" t="s">
        <v>109</v>
      </c>
      <c r="G27" s="37"/>
      <c r="H27" s="38"/>
      <c r="I27" s="32" t="s">
        <v>43</v>
      </c>
      <c r="J27" s="33"/>
      <c r="K27" s="31"/>
      <c r="L27" s="31"/>
      <c r="M27" s="34"/>
      <c r="N27" s="41"/>
    </row>
    <row r="28" spans="1:15" ht="11.25" customHeight="1" x14ac:dyDescent="0.55000000000000004">
      <c r="F28" s="16"/>
      <c r="G28" s="39"/>
      <c r="H28" s="40"/>
      <c r="I28" s="39"/>
      <c r="J28" s="39"/>
      <c r="K28" s="41"/>
      <c r="L28" s="41"/>
      <c r="M28" s="41"/>
      <c r="N28" s="41"/>
    </row>
    <row r="29" spans="1:15" ht="23.25" customHeight="1" x14ac:dyDescent="0.55000000000000004">
      <c r="A29" s="39"/>
      <c r="B29" s="16"/>
      <c r="C29" s="16"/>
      <c r="D29" s="16"/>
      <c r="E29" s="16"/>
      <c r="F29" s="16"/>
      <c r="G29" s="23" t="s">
        <v>110</v>
      </c>
      <c r="H29" s="643" t="s">
        <v>31</v>
      </c>
      <c r="I29" s="643"/>
      <c r="J29" s="24" t="s">
        <v>32</v>
      </c>
      <c r="K29" s="25"/>
      <c r="L29" s="26"/>
      <c r="M29" s="41"/>
      <c r="N29" s="41"/>
    </row>
    <row r="30" spans="1:15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43"/>
      <c r="I30" s="643"/>
      <c r="J30" s="24" t="s">
        <v>34</v>
      </c>
      <c r="K30" s="25"/>
      <c r="L30" s="26"/>
      <c r="M30" s="41"/>
      <c r="N30" s="41"/>
    </row>
    <row r="31" spans="1:15" ht="26.25" x14ac:dyDescent="0.55000000000000004">
      <c r="A31" s="42" t="s">
        <v>111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  <c r="M31" s="41"/>
      <c r="N31" s="41"/>
    </row>
    <row r="32" spans="1:15" ht="26.25" x14ac:dyDescent="0.55000000000000004">
      <c r="A32" s="288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  <c r="M32" s="41"/>
      <c r="N32" s="41"/>
    </row>
    <row r="33" spans="1:14" ht="26.25" x14ac:dyDescent="0.55000000000000004">
      <c r="A33" s="42" t="s">
        <v>112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  <c r="M33" s="41"/>
      <c r="N33" s="41"/>
    </row>
    <row r="34" spans="1:14" ht="26.25" x14ac:dyDescent="0.55000000000000004">
      <c r="A34" s="42" t="s">
        <v>113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  <c r="M34" s="41"/>
      <c r="N34" s="41"/>
    </row>
    <row r="35" spans="1:14" ht="26.25" x14ac:dyDescent="0.55000000000000004">
      <c r="A35" s="42" t="s">
        <v>114</v>
      </c>
      <c r="B35" s="16"/>
      <c r="C35" s="288"/>
      <c r="D35" s="44"/>
      <c r="E35" s="44"/>
      <c r="F35" s="44"/>
      <c r="G35" s="45"/>
      <c r="H35" s="40"/>
      <c r="I35" s="39"/>
      <c r="J35" s="39"/>
      <c r="K35" s="41"/>
      <c r="L35" s="41"/>
      <c r="M35" s="41"/>
      <c r="N35" s="41"/>
    </row>
    <row r="36" spans="1:14" ht="26.25" x14ac:dyDescent="0.55000000000000004">
      <c r="A36" s="39"/>
      <c r="B36" s="16"/>
      <c r="C36" s="288" t="s">
        <v>50</v>
      </c>
      <c r="D36" s="16"/>
      <c r="E36" s="16"/>
      <c r="F36" s="16"/>
      <c r="G36" s="39"/>
      <c r="H36" s="40"/>
      <c r="I36" s="39"/>
      <c r="J36" s="39"/>
      <c r="K36" s="41"/>
      <c r="L36" s="41"/>
      <c r="M36" s="41"/>
      <c r="N36" s="41"/>
    </row>
    <row r="37" spans="1:14" ht="26.25" x14ac:dyDescent="0.55000000000000004">
      <c r="A37" s="39"/>
      <c r="B37" s="16"/>
      <c r="C37" s="288" t="s">
        <v>51</v>
      </c>
      <c r="D37" s="16"/>
      <c r="E37" s="16"/>
      <c r="F37" s="16"/>
      <c r="G37" s="39"/>
      <c r="H37" s="40"/>
      <c r="I37" s="39"/>
      <c r="J37" s="39"/>
      <c r="K37" s="41"/>
      <c r="L37" s="41"/>
      <c r="M37" s="41"/>
      <c r="N37" s="41"/>
    </row>
    <row r="38" spans="1:14" ht="26.25" x14ac:dyDescent="0.55000000000000004">
      <c r="A38" s="39"/>
      <c r="B38" s="16"/>
      <c r="C38" s="288" t="s">
        <v>52</v>
      </c>
      <c r="D38" s="16"/>
      <c r="E38" s="16"/>
      <c r="F38" s="16"/>
      <c r="G38" s="39"/>
      <c r="H38" s="40"/>
      <c r="I38" s="39"/>
      <c r="J38" s="39"/>
      <c r="K38" s="41"/>
      <c r="L38" s="41"/>
      <c r="M38" s="41"/>
      <c r="N38" s="41"/>
    </row>
    <row r="39" spans="1:14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  <c r="M39" s="41"/>
      <c r="N39" s="41"/>
    </row>
    <row r="40" spans="1:14" ht="26.25" x14ac:dyDescent="0.55000000000000004">
      <c r="A40" s="42" t="s">
        <v>115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  <c r="M40" s="41"/>
      <c r="N40" s="41"/>
    </row>
    <row r="41" spans="1:14" s="47" customFormat="1" ht="26.25" x14ac:dyDescent="0.55000000000000004">
      <c r="A41" s="663" t="s">
        <v>116</v>
      </c>
      <c r="B41" s="663"/>
      <c r="C41" s="663"/>
      <c r="D41" s="16"/>
      <c r="E41" s="16"/>
      <c r="F41" s="16"/>
      <c r="G41" s="16"/>
      <c r="H41" s="46"/>
      <c r="I41" s="39"/>
      <c r="J41" s="39"/>
      <c r="K41" s="39"/>
      <c r="L41" s="39"/>
      <c r="M41" s="39"/>
      <c r="N41" s="41"/>
    </row>
    <row r="45" spans="1:14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  <c r="M45" s="54"/>
      <c r="N45" s="329"/>
    </row>
    <row r="48" spans="1:14" ht="15" x14ac:dyDescent="0.2">
      <c r="I48" s="55"/>
      <c r="J48" s="55"/>
      <c r="K48" s="55"/>
      <c r="L48" s="55"/>
      <c r="M48" s="55"/>
      <c r="N48" s="55"/>
    </row>
  </sheetData>
  <mergeCells count="20">
    <mergeCell ref="N2:N3"/>
    <mergeCell ref="O2:O3"/>
    <mergeCell ref="H22:I23"/>
    <mergeCell ref="H24:I25"/>
    <mergeCell ref="J24:M24"/>
    <mergeCell ref="I2:I3"/>
    <mergeCell ref="J2:J3"/>
    <mergeCell ref="K2:K3"/>
    <mergeCell ref="L2:L3"/>
    <mergeCell ref="M2:M3"/>
    <mergeCell ref="D2:D3"/>
    <mergeCell ref="E2:E3"/>
    <mergeCell ref="F2:F3"/>
    <mergeCell ref="H29:I30"/>
    <mergeCell ref="A41:C41"/>
    <mergeCell ref="G26:H26"/>
    <mergeCell ref="G2:G3"/>
    <mergeCell ref="A2:A3"/>
    <mergeCell ref="B2:B3"/>
    <mergeCell ref="C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D11" sqref="D11"/>
    </sheetView>
  </sheetViews>
  <sheetFormatPr defaultColWidth="18.75" defaultRowHeight="14.25" x14ac:dyDescent="0.2"/>
  <cols>
    <col min="1" max="1" width="24" style="209" customWidth="1"/>
    <col min="2" max="2" width="12.25" style="209" customWidth="1"/>
    <col min="3" max="3" width="13" style="209" customWidth="1"/>
    <col min="4" max="4" width="15.375" style="209" customWidth="1"/>
    <col min="5" max="6" width="18.75" style="209"/>
    <col min="7" max="7" width="17.125" style="209" customWidth="1"/>
    <col min="8" max="8" width="15.25" style="209" customWidth="1"/>
    <col min="9" max="9" width="16" style="209" customWidth="1"/>
    <col min="10" max="10" width="15" style="209" customWidth="1"/>
    <col min="11" max="11" width="13.375" style="209" customWidth="1"/>
    <col min="12" max="12" width="16.375" style="209" customWidth="1"/>
    <col min="13" max="16384" width="18.75" style="209"/>
  </cols>
  <sheetData>
    <row r="1" spans="1:13" ht="41.25" customHeight="1" thickBot="1" x14ac:dyDescent="0.3">
      <c r="A1" s="205" t="s">
        <v>92</v>
      </c>
      <c r="B1" s="206"/>
      <c r="C1" s="206"/>
      <c r="D1" s="206"/>
      <c r="E1" s="207"/>
      <c r="F1" s="206"/>
      <c r="G1" s="206"/>
      <c r="H1" s="208" t="s">
        <v>0</v>
      </c>
      <c r="I1" s="206"/>
      <c r="J1" s="206"/>
      <c r="K1" s="206"/>
      <c r="L1" s="206"/>
    </row>
    <row r="2" spans="1:13" ht="22.5" customHeight="1" x14ac:dyDescent="0.2">
      <c r="A2" s="667" t="s">
        <v>1</v>
      </c>
      <c r="B2" s="667" t="s">
        <v>2</v>
      </c>
      <c r="C2" s="667" t="s">
        <v>3</v>
      </c>
      <c r="D2" s="667" t="s">
        <v>4</v>
      </c>
      <c r="E2" s="670" t="s">
        <v>5</v>
      </c>
      <c r="F2" s="667" t="s">
        <v>6</v>
      </c>
      <c r="G2" s="672" t="s">
        <v>7</v>
      </c>
      <c r="H2" s="210" t="s">
        <v>8</v>
      </c>
      <c r="I2" s="667" t="s">
        <v>9</v>
      </c>
      <c r="J2" s="667" t="s">
        <v>10</v>
      </c>
      <c r="K2" s="667" t="s">
        <v>11</v>
      </c>
      <c r="L2" s="664" t="s">
        <v>93</v>
      </c>
      <c r="M2" s="209" t="s">
        <v>93</v>
      </c>
    </row>
    <row r="3" spans="1:13" ht="39.75" customHeight="1" thickBot="1" x14ac:dyDescent="0.25">
      <c r="A3" s="668"/>
      <c r="B3" s="669"/>
      <c r="C3" s="669"/>
      <c r="D3" s="669"/>
      <c r="E3" s="671"/>
      <c r="F3" s="669"/>
      <c r="G3" s="673"/>
      <c r="H3" s="211"/>
      <c r="I3" s="668"/>
      <c r="J3" s="668"/>
      <c r="K3" s="668"/>
      <c r="L3" s="665"/>
    </row>
    <row r="4" spans="1:13" ht="22.5" customHeight="1" thickTop="1" thickBot="1" x14ac:dyDescent="0.4">
      <c r="A4" s="212" t="s">
        <v>12</v>
      </c>
      <c r="B4" s="213">
        <v>3.84</v>
      </c>
      <c r="C4" s="214">
        <v>3.71</v>
      </c>
      <c r="D4" s="215">
        <v>2.64</v>
      </c>
      <c r="E4" s="216">
        <v>588347354.13</v>
      </c>
      <c r="F4" s="217">
        <v>-3120082.47</v>
      </c>
      <c r="G4" s="218">
        <f>SUM(F4/11)</f>
        <v>-283643.8609090909</v>
      </c>
      <c r="H4" s="219">
        <v>2074.25</v>
      </c>
      <c r="I4" s="220">
        <v>0</v>
      </c>
      <c r="J4" s="87">
        <v>1</v>
      </c>
      <c r="K4" s="86">
        <v>0</v>
      </c>
      <c r="L4" s="221">
        <f>SUM(I4:K4)</f>
        <v>1</v>
      </c>
      <c r="M4" s="209">
        <v>1</v>
      </c>
    </row>
    <row r="5" spans="1:13" ht="22.5" customHeight="1" thickTop="1" thickBot="1" x14ac:dyDescent="0.4">
      <c r="A5" s="212" t="s">
        <v>13</v>
      </c>
      <c r="B5" s="222">
        <v>1.96</v>
      </c>
      <c r="C5" s="222">
        <v>1.57</v>
      </c>
      <c r="D5" s="222">
        <v>0.91</v>
      </c>
      <c r="E5" s="223">
        <v>71181527.549999997</v>
      </c>
      <c r="F5" s="224">
        <v>-4837091.91</v>
      </c>
      <c r="G5" s="218">
        <f t="shared" ref="G5:G19" si="0">SUM(F5/11)</f>
        <v>-439735.62818181817</v>
      </c>
      <c r="H5" s="219">
        <v>161.87</v>
      </c>
      <c r="I5" s="220">
        <v>0</v>
      </c>
      <c r="J5" s="225">
        <v>1</v>
      </c>
      <c r="K5" s="86">
        <v>0</v>
      </c>
      <c r="L5" s="221">
        <f t="shared" ref="L5:L19" si="1">SUM(I5:K5)</f>
        <v>1</v>
      </c>
      <c r="M5" s="209">
        <v>0</v>
      </c>
    </row>
    <row r="6" spans="1:13" ht="22.5" customHeight="1" thickTop="1" thickBot="1" x14ac:dyDescent="0.4">
      <c r="A6" s="212" t="s">
        <v>14</v>
      </c>
      <c r="B6" s="226">
        <v>1.1599999999999999</v>
      </c>
      <c r="C6" s="227">
        <v>1.02</v>
      </c>
      <c r="D6" s="227">
        <v>0.81</v>
      </c>
      <c r="E6" s="228">
        <v>4293603.8499999996</v>
      </c>
      <c r="F6" s="229">
        <v>-5901446.5599999996</v>
      </c>
      <c r="G6" s="218">
        <f t="shared" si="0"/>
        <v>-536495.14181818173</v>
      </c>
      <c r="H6" s="219">
        <v>8</v>
      </c>
      <c r="I6" s="230">
        <v>1</v>
      </c>
      <c r="J6" s="87">
        <v>1</v>
      </c>
      <c r="K6" s="86">
        <v>0</v>
      </c>
      <c r="L6" s="221">
        <f t="shared" si="1"/>
        <v>2</v>
      </c>
      <c r="M6" s="209">
        <v>5</v>
      </c>
    </row>
    <row r="7" spans="1:13" ht="22.5" customHeight="1" thickTop="1" thickBot="1" x14ac:dyDescent="0.4">
      <c r="A7" s="212" t="s">
        <v>15</v>
      </c>
      <c r="B7" s="231">
        <v>2.0499999999999998</v>
      </c>
      <c r="C7" s="231">
        <v>1.9</v>
      </c>
      <c r="D7" s="231">
        <v>1.56</v>
      </c>
      <c r="E7" s="232">
        <v>16056198.619999999</v>
      </c>
      <c r="F7" s="233">
        <v>-7009311.0899999999</v>
      </c>
      <c r="G7" s="218">
        <f t="shared" si="0"/>
        <v>-637210.09909090912</v>
      </c>
      <c r="H7" s="219">
        <v>25.2</v>
      </c>
      <c r="I7" s="220">
        <v>0</v>
      </c>
      <c r="J7" s="87">
        <v>1</v>
      </c>
      <c r="K7" s="86">
        <v>0</v>
      </c>
      <c r="L7" s="221">
        <f t="shared" si="1"/>
        <v>1</v>
      </c>
      <c r="M7" s="209">
        <v>1</v>
      </c>
    </row>
    <row r="8" spans="1:13" ht="22.5" customHeight="1" thickTop="1" thickBot="1" x14ac:dyDescent="0.4">
      <c r="A8" s="212" t="s">
        <v>16</v>
      </c>
      <c r="B8" s="231">
        <v>2.02</v>
      </c>
      <c r="C8" s="231">
        <v>1.78</v>
      </c>
      <c r="D8" s="114">
        <v>1.5</v>
      </c>
      <c r="E8" s="234">
        <v>14333048.300000001</v>
      </c>
      <c r="F8" s="235">
        <v>-7922454.0700000003</v>
      </c>
      <c r="G8" s="218">
        <f t="shared" si="0"/>
        <v>-720223.09727272729</v>
      </c>
      <c r="H8" s="219">
        <v>19.899999999999999</v>
      </c>
      <c r="I8" s="220">
        <v>0</v>
      </c>
      <c r="J8" s="87">
        <v>1</v>
      </c>
      <c r="K8" s="86">
        <v>0</v>
      </c>
      <c r="L8" s="221">
        <f t="shared" si="1"/>
        <v>1</v>
      </c>
      <c r="M8" s="209">
        <v>1</v>
      </c>
    </row>
    <row r="9" spans="1:13" ht="22.5" customHeight="1" thickTop="1" thickBot="1" x14ac:dyDescent="0.4">
      <c r="A9" s="212" t="s">
        <v>17</v>
      </c>
      <c r="B9" s="236">
        <v>0.87</v>
      </c>
      <c r="C9" s="236">
        <v>0.75</v>
      </c>
      <c r="D9" s="236">
        <v>0.63</v>
      </c>
      <c r="E9" s="237">
        <v>-2514896.58</v>
      </c>
      <c r="F9" s="237">
        <v>-4969865.91</v>
      </c>
      <c r="G9" s="218">
        <f t="shared" si="0"/>
        <v>-451805.99181818182</v>
      </c>
      <c r="H9" s="219">
        <f t="shared" ref="H9:H19" si="2">SUM(E9/G9)</f>
        <v>5.5663196715904961</v>
      </c>
      <c r="I9" s="230">
        <v>3</v>
      </c>
      <c r="J9" s="87">
        <v>2</v>
      </c>
      <c r="K9" s="87">
        <v>2</v>
      </c>
      <c r="L9" s="221">
        <f t="shared" si="1"/>
        <v>7</v>
      </c>
      <c r="M9" s="209">
        <v>7</v>
      </c>
    </row>
    <row r="10" spans="1:13" ht="22.5" customHeight="1" thickTop="1" thickBot="1" x14ac:dyDescent="0.4">
      <c r="A10" s="238" t="s">
        <v>18</v>
      </c>
      <c r="B10" s="239">
        <v>3.83</v>
      </c>
      <c r="C10" s="231">
        <v>3.55</v>
      </c>
      <c r="D10" s="239">
        <v>3.01</v>
      </c>
      <c r="E10" s="234">
        <v>79368575.310000002</v>
      </c>
      <c r="F10" s="240">
        <v>109026366.08</v>
      </c>
      <c r="G10" s="218">
        <f t="shared" si="0"/>
        <v>9911487.8254545461</v>
      </c>
      <c r="H10" s="241">
        <f t="shared" si="2"/>
        <v>8.0077357413653605</v>
      </c>
      <c r="I10" s="220">
        <v>0</v>
      </c>
      <c r="J10" s="86">
        <v>0</v>
      </c>
      <c r="K10" s="86">
        <v>0</v>
      </c>
      <c r="L10" s="242">
        <f t="shared" si="1"/>
        <v>0</v>
      </c>
      <c r="M10" s="209">
        <v>0</v>
      </c>
    </row>
    <row r="11" spans="1:13" ht="22.5" customHeight="1" thickTop="1" thickBot="1" x14ac:dyDescent="0.4">
      <c r="A11" s="238" t="s">
        <v>19</v>
      </c>
      <c r="B11" s="243">
        <v>1.05</v>
      </c>
      <c r="C11" s="243">
        <v>0.78</v>
      </c>
      <c r="D11" s="244">
        <v>0.51</v>
      </c>
      <c r="E11" s="240">
        <v>947289.4</v>
      </c>
      <c r="F11" s="235">
        <v>-14147060.75</v>
      </c>
      <c r="G11" s="218">
        <f t="shared" si="0"/>
        <v>-1286096.4318181819</v>
      </c>
      <c r="H11" s="219">
        <v>0.74</v>
      </c>
      <c r="I11" s="230">
        <v>3</v>
      </c>
      <c r="J11" s="87">
        <v>1</v>
      </c>
      <c r="K11" s="87">
        <v>2</v>
      </c>
      <c r="L11" s="221">
        <f t="shared" si="1"/>
        <v>6</v>
      </c>
      <c r="M11" s="209">
        <v>7</v>
      </c>
    </row>
    <row r="12" spans="1:13" ht="22.5" customHeight="1" thickTop="1" thickBot="1" x14ac:dyDescent="0.4">
      <c r="A12" s="212" t="s">
        <v>20</v>
      </c>
      <c r="B12" s="236">
        <v>1.3</v>
      </c>
      <c r="C12" s="239">
        <v>1.1399999999999999</v>
      </c>
      <c r="D12" s="239">
        <v>0.92</v>
      </c>
      <c r="E12" s="234">
        <v>4851402.5599999996</v>
      </c>
      <c r="F12" s="235">
        <v>-11134099.01</v>
      </c>
      <c r="G12" s="218">
        <f t="shared" si="0"/>
        <v>-1012190.8190909091</v>
      </c>
      <c r="H12" s="219">
        <v>4.79</v>
      </c>
      <c r="I12" s="230">
        <v>1</v>
      </c>
      <c r="J12" s="87">
        <v>1</v>
      </c>
      <c r="K12" s="86">
        <v>1</v>
      </c>
      <c r="L12" s="221">
        <f t="shared" si="1"/>
        <v>3</v>
      </c>
      <c r="M12" s="209">
        <v>3</v>
      </c>
    </row>
    <row r="13" spans="1:13" ht="22.5" customHeight="1" thickTop="1" thickBot="1" x14ac:dyDescent="0.4">
      <c r="A13" s="212" t="s">
        <v>21</v>
      </c>
      <c r="B13" s="231">
        <v>1.69</v>
      </c>
      <c r="C13" s="239">
        <v>1.48</v>
      </c>
      <c r="D13" s="239">
        <v>1.04</v>
      </c>
      <c r="E13" s="240">
        <v>9353051.25</v>
      </c>
      <c r="F13" s="235">
        <v>-4363026.78</v>
      </c>
      <c r="G13" s="218">
        <f t="shared" si="0"/>
        <v>-396638.79818181822</v>
      </c>
      <c r="H13" s="219">
        <v>23.58</v>
      </c>
      <c r="I13" s="220">
        <v>0</v>
      </c>
      <c r="J13" s="87">
        <v>1</v>
      </c>
      <c r="K13" s="86">
        <v>0</v>
      </c>
      <c r="L13" s="221">
        <f t="shared" si="1"/>
        <v>1</v>
      </c>
      <c r="M13" s="209">
        <v>1</v>
      </c>
    </row>
    <row r="14" spans="1:13" ht="22.5" customHeight="1" thickTop="1" thickBot="1" x14ac:dyDescent="0.4">
      <c r="A14" s="212" t="s">
        <v>22</v>
      </c>
      <c r="B14" s="243">
        <v>1.1200000000000001</v>
      </c>
      <c r="C14" s="243">
        <v>0.73</v>
      </c>
      <c r="D14" s="243">
        <v>0.4</v>
      </c>
      <c r="E14" s="240">
        <v>1537637.07</v>
      </c>
      <c r="F14" s="240">
        <v>4188034.7</v>
      </c>
      <c r="G14" s="218">
        <f t="shared" si="0"/>
        <v>380730.42727272731</v>
      </c>
      <c r="H14" s="241">
        <f t="shared" si="2"/>
        <v>4.0386503411731516</v>
      </c>
      <c r="I14" s="230">
        <v>3</v>
      </c>
      <c r="J14" s="86">
        <v>0</v>
      </c>
      <c r="K14" s="86">
        <v>0</v>
      </c>
      <c r="L14" s="221">
        <f t="shared" si="1"/>
        <v>3</v>
      </c>
      <c r="M14" s="209">
        <v>4</v>
      </c>
    </row>
    <row r="15" spans="1:13" ht="22.5" customHeight="1" thickTop="1" thickBot="1" x14ac:dyDescent="0.4">
      <c r="A15" s="212" t="s">
        <v>23</v>
      </c>
      <c r="B15" s="239">
        <v>5.54</v>
      </c>
      <c r="C15" s="245">
        <v>5.37</v>
      </c>
      <c r="D15" s="231">
        <v>5.08</v>
      </c>
      <c r="E15" s="234">
        <v>122237909.26000001</v>
      </c>
      <c r="F15" s="240">
        <v>46230545.520000003</v>
      </c>
      <c r="G15" s="218">
        <f t="shared" si="0"/>
        <v>4202776.8654545462</v>
      </c>
      <c r="H15" s="241">
        <f t="shared" si="2"/>
        <v>29.085034293577589</v>
      </c>
      <c r="I15" s="220">
        <v>0</v>
      </c>
      <c r="J15" s="86">
        <v>0</v>
      </c>
      <c r="K15" s="86">
        <v>0</v>
      </c>
      <c r="L15" s="221">
        <f t="shared" si="1"/>
        <v>0</v>
      </c>
      <c r="M15" s="209">
        <v>0</v>
      </c>
    </row>
    <row r="16" spans="1:13" ht="22.5" customHeight="1" thickTop="1" thickBot="1" x14ac:dyDescent="0.4">
      <c r="A16" s="212" t="s">
        <v>24</v>
      </c>
      <c r="B16" s="231">
        <v>3.33</v>
      </c>
      <c r="C16" s="239">
        <v>3.07</v>
      </c>
      <c r="D16" s="231">
        <v>2.85</v>
      </c>
      <c r="E16" s="246">
        <v>11005571.390000001</v>
      </c>
      <c r="F16" s="247">
        <v>-4089685.18</v>
      </c>
      <c r="G16" s="218">
        <f t="shared" si="0"/>
        <v>-371789.56181818183</v>
      </c>
      <c r="H16" s="219">
        <v>29.6</v>
      </c>
      <c r="I16" s="220">
        <v>0</v>
      </c>
      <c r="J16" s="87">
        <v>1</v>
      </c>
      <c r="K16" s="86">
        <v>0</v>
      </c>
      <c r="L16" s="221">
        <f t="shared" si="1"/>
        <v>1</v>
      </c>
      <c r="M16" s="209">
        <v>0</v>
      </c>
    </row>
    <row r="17" spans="1:13" ht="22.5" customHeight="1" thickTop="1" thickBot="1" x14ac:dyDescent="0.4">
      <c r="A17" s="212" t="s">
        <v>25</v>
      </c>
      <c r="B17" s="248">
        <v>1.35</v>
      </c>
      <c r="C17" s="231">
        <v>1.19</v>
      </c>
      <c r="D17" s="243">
        <v>0.65</v>
      </c>
      <c r="E17" s="240">
        <v>5141753.71</v>
      </c>
      <c r="F17" s="235">
        <v>-6389297.8099999996</v>
      </c>
      <c r="G17" s="218">
        <f t="shared" si="0"/>
        <v>-580845.25545454537</v>
      </c>
      <c r="H17" s="219">
        <v>8.85</v>
      </c>
      <c r="I17" s="230">
        <v>2</v>
      </c>
      <c r="J17" s="87">
        <v>1</v>
      </c>
      <c r="K17" s="86">
        <v>0</v>
      </c>
      <c r="L17" s="221">
        <f t="shared" si="1"/>
        <v>3</v>
      </c>
      <c r="M17" s="209">
        <v>3</v>
      </c>
    </row>
    <row r="18" spans="1:13" ht="22.5" customHeight="1" thickTop="1" thickBot="1" x14ac:dyDescent="0.4">
      <c r="A18" s="212" t="s">
        <v>26</v>
      </c>
      <c r="B18" s="243">
        <v>0.57999999999999996</v>
      </c>
      <c r="C18" s="243">
        <v>0.44</v>
      </c>
      <c r="D18" s="236">
        <v>0.28999999999999998</v>
      </c>
      <c r="E18" s="237">
        <v>-8442185.8399999999</v>
      </c>
      <c r="F18" s="235">
        <v>-3714806.68</v>
      </c>
      <c r="G18" s="218">
        <f t="shared" si="0"/>
        <v>-337709.69818181818</v>
      </c>
      <c r="H18" s="219">
        <f t="shared" si="2"/>
        <v>24.998351795792505</v>
      </c>
      <c r="I18" s="230">
        <v>3</v>
      </c>
      <c r="J18" s="87">
        <v>2</v>
      </c>
      <c r="K18" s="225">
        <v>2</v>
      </c>
      <c r="L18" s="221">
        <f t="shared" si="1"/>
        <v>7</v>
      </c>
      <c r="M18" s="209">
        <v>7</v>
      </c>
    </row>
    <row r="19" spans="1:13" ht="22.5" customHeight="1" thickTop="1" thickBot="1" x14ac:dyDescent="0.4">
      <c r="A19" s="212" t="s">
        <v>27</v>
      </c>
      <c r="B19" s="236">
        <v>0.84</v>
      </c>
      <c r="C19" s="236">
        <v>0.7</v>
      </c>
      <c r="D19" s="236">
        <v>0.43</v>
      </c>
      <c r="E19" s="235">
        <v>-1334604.98</v>
      </c>
      <c r="F19" s="235">
        <v>-6575316.8300000001</v>
      </c>
      <c r="G19" s="218">
        <f t="shared" si="0"/>
        <v>-597756.07545454544</v>
      </c>
      <c r="H19" s="219">
        <f t="shared" si="2"/>
        <v>2.2326916192112982</v>
      </c>
      <c r="I19" s="230">
        <v>3</v>
      </c>
      <c r="J19" s="87">
        <v>2</v>
      </c>
      <c r="K19" s="87">
        <v>2</v>
      </c>
      <c r="L19" s="221">
        <f t="shared" si="1"/>
        <v>7</v>
      </c>
      <c r="M19" s="209">
        <v>7</v>
      </c>
    </row>
    <row r="20" spans="1:13" ht="22.5" customHeight="1" x14ac:dyDescent="0.35">
      <c r="B20" s="12"/>
      <c r="C20" s="12"/>
      <c r="D20" s="12"/>
      <c r="E20" s="12"/>
      <c r="F20" s="12"/>
      <c r="H20" s="249"/>
    </row>
    <row r="21" spans="1:13" ht="22.5" customHeight="1" x14ac:dyDescent="0.55000000000000004">
      <c r="A21" s="14"/>
      <c r="B21" s="15"/>
      <c r="C21" s="15"/>
      <c r="D21" s="15"/>
      <c r="E21" s="16"/>
      <c r="F21" s="16"/>
      <c r="G21" s="250" t="s">
        <v>28</v>
      </c>
      <c r="H21" s="251"/>
      <c r="I21" s="252"/>
      <c r="J21" s="20"/>
      <c r="K21" s="21"/>
      <c r="L21" s="21"/>
    </row>
    <row r="22" spans="1:13" ht="26.25" x14ac:dyDescent="0.55000000000000004">
      <c r="A22" s="140" t="s">
        <v>29</v>
      </c>
      <c r="B22" s="16"/>
      <c r="C22" s="16"/>
      <c r="D22" s="16"/>
      <c r="E22" s="16"/>
      <c r="F22" s="16"/>
      <c r="G22" s="23" t="s">
        <v>30</v>
      </c>
      <c r="H22" s="666" t="s">
        <v>31</v>
      </c>
      <c r="I22" s="666"/>
      <c r="J22" s="24" t="s">
        <v>32</v>
      </c>
      <c r="K22" s="25"/>
      <c r="L22" s="26"/>
    </row>
    <row r="23" spans="1:13" ht="26.25" x14ac:dyDescent="0.55000000000000004">
      <c r="A23" s="140"/>
      <c r="B23" s="16"/>
      <c r="C23" s="16"/>
      <c r="D23" s="16"/>
      <c r="E23" s="16"/>
      <c r="F23" s="16"/>
      <c r="G23" s="27" t="s">
        <v>33</v>
      </c>
      <c r="H23" s="666"/>
      <c r="I23" s="666"/>
      <c r="J23" s="24" t="s">
        <v>34</v>
      </c>
      <c r="K23" s="25"/>
      <c r="L23" s="26"/>
    </row>
    <row r="24" spans="1:13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70</v>
      </c>
      <c r="H24" s="666" t="s">
        <v>31</v>
      </c>
      <c r="I24" s="666"/>
      <c r="J24" s="644" t="s">
        <v>37</v>
      </c>
      <c r="K24" s="645"/>
      <c r="L24" s="645"/>
    </row>
    <row r="25" spans="1:13" ht="26.25" x14ac:dyDescent="0.55000000000000004">
      <c r="A25" s="140"/>
      <c r="B25" s="16"/>
      <c r="C25" s="16"/>
      <c r="D25" s="16"/>
      <c r="E25" s="16"/>
      <c r="F25" s="16"/>
      <c r="G25" s="27" t="s">
        <v>33</v>
      </c>
      <c r="H25" s="666"/>
      <c r="I25" s="666"/>
      <c r="J25" s="24" t="s">
        <v>34</v>
      </c>
      <c r="K25" s="30"/>
      <c r="L25" s="31"/>
    </row>
    <row r="26" spans="1:13" ht="26.25" x14ac:dyDescent="0.55000000000000004">
      <c r="A26" s="140" t="s">
        <v>38</v>
      </c>
      <c r="B26" s="16"/>
      <c r="C26" s="16"/>
      <c r="D26" s="16"/>
      <c r="E26" s="16"/>
      <c r="F26" s="27" t="s">
        <v>39</v>
      </c>
      <c r="G26" s="674" t="s">
        <v>31</v>
      </c>
      <c r="H26" s="674"/>
      <c r="I26" s="32" t="s">
        <v>40</v>
      </c>
      <c r="J26" s="33"/>
      <c r="K26" s="34"/>
      <c r="L26" s="34"/>
    </row>
    <row r="27" spans="1:13" ht="26.25" x14ac:dyDescent="0.55000000000000004">
      <c r="A27" s="253" t="s">
        <v>41</v>
      </c>
      <c r="B27" s="16"/>
      <c r="C27" s="16"/>
      <c r="D27" s="16"/>
      <c r="E27" s="16"/>
      <c r="F27" s="36" t="s">
        <v>71</v>
      </c>
      <c r="G27" s="37"/>
      <c r="H27" s="254"/>
      <c r="I27" s="32" t="s">
        <v>43</v>
      </c>
      <c r="J27" s="33"/>
      <c r="K27" s="31"/>
      <c r="L27" s="31"/>
    </row>
    <row r="28" spans="1:13" ht="11.25" customHeight="1" x14ac:dyDescent="0.55000000000000004">
      <c r="F28" s="16"/>
      <c r="G28" s="39"/>
      <c r="H28" s="40"/>
      <c r="I28" s="39"/>
      <c r="J28" s="39"/>
      <c r="K28" s="41"/>
      <c r="L28" s="41"/>
    </row>
    <row r="29" spans="1:13" ht="23.25" customHeight="1" x14ac:dyDescent="0.55000000000000004">
      <c r="A29" s="39"/>
      <c r="B29" s="16"/>
      <c r="C29" s="16"/>
      <c r="D29" s="16"/>
      <c r="E29" s="16"/>
      <c r="F29" s="16"/>
      <c r="G29" s="23" t="s">
        <v>72</v>
      </c>
      <c r="H29" s="666" t="s">
        <v>31</v>
      </c>
      <c r="I29" s="666"/>
      <c r="J29" s="24" t="s">
        <v>32</v>
      </c>
      <c r="K29" s="25"/>
      <c r="L29" s="26"/>
    </row>
    <row r="30" spans="1:13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66"/>
      <c r="I30" s="666"/>
      <c r="J30" s="24" t="s">
        <v>34</v>
      </c>
      <c r="K30" s="25"/>
      <c r="L30" s="26"/>
    </row>
    <row r="31" spans="1:13" ht="26.25" x14ac:dyDescent="0.55000000000000004">
      <c r="A31" s="140" t="s">
        <v>94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3" ht="26.25" x14ac:dyDescent="0.55000000000000004">
      <c r="A32" s="140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 x14ac:dyDescent="0.55000000000000004">
      <c r="A33" s="140" t="s">
        <v>95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 x14ac:dyDescent="0.55000000000000004">
      <c r="A34" s="140" t="s">
        <v>96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 x14ac:dyDescent="0.55000000000000004">
      <c r="A35" s="140" t="s">
        <v>97</v>
      </c>
      <c r="B35" s="16"/>
      <c r="C35" s="140"/>
      <c r="D35" s="255"/>
      <c r="E35" s="255"/>
      <c r="F35" s="255"/>
      <c r="G35" s="256"/>
      <c r="H35" s="40"/>
      <c r="I35" s="39"/>
      <c r="J35" s="39"/>
      <c r="K35" s="41"/>
      <c r="L35" s="41"/>
    </row>
    <row r="36" spans="1:12" ht="26.25" x14ac:dyDescent="0.55000000000000004">
      <c r="A36" s="39"/>
      <c r="B36" s="16"/>
      <c r="C36" s="140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 x14ac:dyDescent="0.55000000000000004">
      <c r="A37" s="39"/>
      <c r="B37" s="16"/>
      <c r="C37" s="140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 x14ac:dyDescent="0.55000000000000004">
      <c r="A38" s="39"/>
      <c r="B38" s="16"/>
      <c r="C38" s="140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 x14ac:dyDescent="0.55000000000000004">
      <c r="A40" s="140" t="s">
        <v>98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 x14ac:dyDescent="0.55000000000000004">
      <c r="A41" s="663" t="s">
        <v>55</v>
      </c>
      <c r="B41" s="663"/>
      <c r="C41" s="663"/>
      <c r="D41" s="16"/>
      <c r="E41" s="16"/>
      <c r="F41" s="16"/>
      <c r="G41" s="16"/>
      <c r="H41" s="46"/>
      <c r="I41" s="39"/>
      <c r="J41" s="39"/>
      <c r="K41" s="39"/>
      <c r="L41" s="39"/>
    </row>
    <row r="45" spans="1:12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 x14ac:dyDescent="0.2">
      <c r="I48" s="55"/>
      <c r="J48" s="55"/>
      <c r="K48" s="55"/>
      <c r="L48" s="55"/>
    </row>
  </sheetData>
  <mergeCells count="17">
    <mergeCell ref="G26:H26"/>
    <mergeCell ref="H29:I30"/>
    <mergeCell ref="A41:C41"/>
    <mergeCell ref="J2:J3"/>
    <mergeCell ref="K2:K3"/>
    <mergeCell ref="L2:L3"/>
    <mergeCell ref="H24:I25"/>
    <mergeCell ref="J24:L24"/>
    <mergeCell ref="H22:I23"/>
    <mergeCell ref="A2:A3"/>
    <mergeCell ref="B2:B3"/>
    <mergeCell ref="C2:C3"/>
    <mergeCell ref="D2:D3"/>
    <mergeCell ref="E2:E3"/>
    <mergeCell ref="F2:F3"/>
    <mergeCell ref="G2:G3"/>
    <mergeCell ref="I2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" zoomScale="70" zoomScaleNormal="70" workbookViewId="0">
      <selection activeCell="O4" sqref="O4:O19"/>
    </sheetView>
  </sheetViews>
  <sheetFormatPr defaultColWidth="18.75" defaultRowHeight="14.25" x14ac:dyDescent="0.2"/>
  <cols>
    <col min="1" max="1" width="24" style="209" customWidth="1"/>
    <col min="2" max="2" width="12.25" style="209" customWidth="1"/>
    <col min="3" max="3" width="13" style="209" customWidth="1"/>
    <col min="4" max="4" width="15.375" style="209" customWidth="1"/>
    <col min="5" max="6" width="18.75" style="209"/>
    <col min="7" max="7" width="17.125" style="209" hidden="1" customWidth="1"/>
    <col min="8" max="8" width="15.25" style="209" hidden="1" customWidth="1"/>
    <col min="9" max="9" width="16" style="209" customWidth="1"/>
    <col min="10" max="10" width="15" style="209" customWidth="1"/>
    <col min="11" max="11" width="13.375" style="209" customWidth="1"/>
    <col min="12" max="13" width="16.375" style="209" customWidth="1"/>
    <col min="14" max="16384" width="18.75" style="209"/>
  </cols>
  <sheetData>
    <row r="1" spans="1:15" ht="41.25" customHeight="1" x14ac:dyDescent="0.25">
      <c r="A1" s="257" t="s">
        <v>99</v>
      </c>
      <c r="B1" s="258"/>
      <c r="C1" s="258"/>
      <c r="D1" s="258"/>
      <c r="E1" s="259"/>
      <c r="F1" s="258"/>
      <c r="G1" s="258">
        <v>12</v>
      </c>
      <c r="H1" s="260" t="s">
        <v>0</v>
      </c>
      <c r="I1" s="258"/>
      <c r="J1" s="258"/>
      <c r="K1" s="258"/>
      <c r="L1" s="258"/>
      <c r="M1" s="258"/>
    </row>
    <row r="2" spans="1:15" ht="22.5" customHeight="1" x14ac:dyDescent="0.2">
      <c r="A2" s="676" t="s">
        <v>1</v>
      </c>
      <c r="B2" s="676" t="s">
        <v>2</v>
      </c>
      <c r="C2" s="676" t="s">
        <v>3</v>
      </c>
      <c r="D2" s="676" t="s">
        <v>4</v>
      </c>
      <c r="E2" s="677" t="s">
        <v>5</v>
      </c>
      <c r="F2" s="676" t="s">
        <v>6</v>
      </c>
      <c r="G2" s="678" t="s">
        <v>7</v>
      </c>
      <c r="H2" s="261" t="s">
        <v>8</v>
      </c>
      <c r="I2" s="676" t="s">
        <v>9</v>
      </c>
      <c r="J2" s="676" t="s">
        <v>10</v>
      </c>
      <c r="K2" s="676" t="s">
        <v>11</v>
      </c>
      <c r="L2" s="675" t="s">
        <v>100</v>
      </c>
      <c r="M2" s="675" t="s">
        <v>93</v>
      </c>
    </row>
    <row r="3" spans="1:15" ht="108" customHeight="1" x14ac:dyDescent="0.2">
      <c r="A3" s="676"/>
      <c r="B3" s="676"/>
      <c r="C3" s="676"/>
      <c r="D3" s="676"/>
      <c r="E3" s="677"/>
      <c r="F3" s="676"/>
      <c r="G3" s="678"/>
      <c r="H3" s="261"/>
      <c r="I3" s="676"/>
      <c r="J3" s="676"/>
      <c r="K3" s="676"/>
      <c r="L3" s="675"/>
      <c r="M3" s="675"/>
    </row>
    <row r="4" spans="1:15" ht="22.5" customHeight="1" x14ac:dyDescent="0.35">
      <c r="A4" s="262" t="s">
        <v>12</v>
      </c>
      <c r="B4" s="263">
        <v>3.83</v>
      </c>
      <c r="C4" s="264">
        <v>3.65</v>
      </c>
      <c r="D4" s="265">
        <v>2.65</v>
      </c>
      <c r="E4" s="266">
        <v>522015227.67000002</v>
      </c>
      <c r="F4" s="267">
        <v>-10805349.449999999</v>
      </c>
      <c r="G4" s="268">
        <f>SUM(F4/$G$1)</f>
        <v>-900445.78749999998</v>
      </c>
      <c r="H4" s="269">
        <f>+(E4/G4)</f>
        <v>-579.72976820661734</v>
      </c>
      <c r="I4" s="270">
        <v>0</v>
      </c>
      <c r="J4" s="271">
        <v>1</v>
      </c>
      <c r="K4" s="270">
        <v>0</v>
      </c>
      <c r="L4" s="271">
        <f>SUM(I4:K4)</f>
        <v>1</v>
      </c>
      <c r="M4" s="272">
        <v>1</v>
      </c>
      <c r="N4" s="415" t="s">
        <v>12</v>
      </c>
      <c r="O4" s="209">
        <v>1</v>
      </c>
    </row>
    <row r="5" spans="1:15" ht="22.5" customHeight="1" x14ac:dyDescent="0.35">
      <c r="A5" s="262" t="s">
        <v>13</v>
      </c>
      <c r="B5" s="273">
        <v>1.85</v>
      </c>
      <c r="C5" s="273">
        <v>1.53</v>
      </c>
      <c r="D5" s="273">
        <v>0.9</v>
      </c>
      <c r="E5" s="274">
        <v>64957009.149999999</v>
      </c>
      <c r="F5" s="275">
        <v>30214550.600000001</v>
      </c>
      <c r="G5" s="268"/>
      <c r="H5" s="269"/>
      <c r="I5" s="270">
        <v>0</v>
      </c>
      <c r="J5" s="276">
        <v>0</v>
      </c>
      <c r="K5" s="270">
        <v>0</v>
      </c>
      <c r="L5" s="271">
        <f t="shared" ref="L5:L19" si="0">SUM(I5:K5)</f>
        <v>0</v>
      </c>
      <c r="M5" s="272">
        <v>1</v>
      </c>
      <c r="N5" s="415" t="s">
        <v>13</v>
      </c>
      <c r="O5" s="209">
        <v>0</v>
      </c>
    </row>
    <row r="6" spans="1:15" ht="22.5" customHeight="1" x14ac:dyDescent="0.35">
      <c r="A6" s="262" t="s">
        <v>14</v>
      </c>
      <c r="B6" s="277">
        <v>1.0900000000000001</v>
      </c>
      <c r="C6" s="278">
        <v>0.84</v>
      </c>
      <c r="D6" s="278">
        <v>0.7</v>
      </c>
      <c r="E6" s="266">
        <v>2233355.63</v>
      </c>
      <c r="F6" s="279">
        <v>-5873753.6500000004</v>
      </c>
      <c r="G6" s="268">
        <f t="shared" ref="G6:G19" si="1">SUM(F6/$G$1)</f>
        <v>-489479.47083333338</v>
      </c>
      <c r="H6" s="269">
        <f t="shared" ref="H6:H19" si="2">+(E6/G6)</f>
        <v>-4.5627156256374484</v>
      </c>
      <c r="I6" s="271">
        <v>3</v>
      </c>
      <c r="J6" s="271">
        <v>1</v>
      </c>
      <c r="K6" s="270">
        <v>1</v>
      </c>
      <c r="L6" s="271">
        <f t="shared" si="0"/>
        <v>5</v>
      </c>
      <c r="M6" s="272">
        <v>2</v>
      </c>
      <c r="N6" s="415" t="s">
        <v>14</v>
      </c>
      <c r="O6" s="209">
        <v>5</v>
      </c>
    </row>
    <row r="7" spans="1:15" ht="22.5" customHeight="1" x14ac:dyDescent="0.35">
      <c r="A7" s="262" t="s">
        <v>15</v>
      </c>
      <c r="B7" s="264">
        <v>1.98</v>
      </c>
      <c r="C7" s="264">
        <v>1.86</v>
      </c>
      <c r="D7" s="264">
        <v>1.53</v>
      </c>
      <c r="E7" s="280">
        <v>14072950.779999999</v>
      </c>
      <c r="F7" s="281">
        <v>-5503724.8099999996</v>
      </c>
      <c r="G7" s="268">
        <f t="shared" si="1"/>
        <v>-458643.73416666663</v>
      </c>
      <c r="H7" s="269">
        <f t="shared" si="2"/>
        <v>-30.683839615883702</v>
      </c>
      <c r="I7" s="270">
        <v>0</v>
      </c>
      <c r="J7" s="271">
        <v>1</v>
      </c>
      <c r="K7" s="270">
        <v>0</v>
      </c>
      <c r="L7" s="271">
        <f t="shared" si="0"/>
        <v>1</v>
      </c>
      <c r="M7" s="272">
        <v>1</v>
      </c>
      <c r="N7" s="415" t="s">
        <v>15</v>
      </c>
      <c r="O7" s="209">
        <v>1</v>
      </c>
    </row>
    <row r="8" spans="1:15" ht="22.5" customHeight="1" x14ac:dyDescent="0.35">
      <c r="A8" s="262" t="s">
        <v>16</v>
      </c>
      <c r="B8" s="264">
        <v>3.3</v>
      </c>
      <c r="C8" s="264">
        <v>2.95</v>
      </c>
      <c r="D8" s="273">
        <v>2.2200000000000002</v>
      </c>
      <c r="E8" s="282">
        <v>18249266.199999999</v>
      </c>
      <c r="F8" s="283">
        <v>-4450918</v>
      </c>
      <c r="G8" s="268">
        <f t="shared" si="1"/>
        <v>-370909.83333333331</v>
      </c>
      <c r="H8" s="269">
        <f t="shared" si="2"/>
        <v>-49.201354507092695</v>
      </c>
      <c r="I8" s="270">
        <v>0</v>
      </c>
      <c r="J8" s="271">
        <v>1</v>
      </c>
      <c r="K8" s="270">
        <v>0</v>
      </c>
      <c r="L8" s="271">
        <f t="shared" si="0"/>
        <v>1</v>
      </c>
      <c r="M8" s="272">
        <v>1</v>
      </c>
      <c r="N8" s="415" t="s">
        <v>16</v>
      </c>
      <c r="O8" s="209">
        <v>1</v>
      </c>
    </row>
    <row r="9" spans="1:15" ht="22.5" customHeight="1" x14ac:dyDescent="0.35">
      <c r="A9" s="262" t="s">
        <v>17</v>
      </c>
      <c r="B9" s="284">
        <v>0.97</v>
      </c>
      <c r="C9" s="284">
        <v>0.84</v>
      </c>
      <c r="D9" s="284">
        <v>0.67</v>
      </c>
      <c r="E9" s="267">
        <v>-594453.13</v>
      </c>
      <c r="F9" s="267">
        <v>-4196365.09</v>
      </c>
      <c r="G9" s="268">
        <f t="shared" si="1"/>
        <v>-349697.09083333332</v>
      </c>
      <c r="H9" s="269">
        <f t="shared" si="2"/>
        <v>1.6999087083721784</v>
      </c>
      <c r="I9" s="271">
        <v>3</v>
      </c>
      <c r="J9" s="271">
        <v>2</v>
      </c>
      <c r="K9" s="271">
        <v>2</v>
      </c>
      <c r="L9" s="271">
        <f t="shared" si="0"/>
        <v>7</v>
      </c>
      <c r="M9" s="272">
        <v>7</v>
      </c>
      <c r="N9" s="415" t="s">
        <v>17</v>
      </c>
      <c r="O9" s="209">
        <v>7</v>
      </c>
    </row>
    <row r="10" spans="1:15" ht="22.5" customHeight="1" x14ac:dyDescent="0.35">
      <c r="A10" s="262" t="s">
        <v>18</v>
      </c>
      <c r="B10" s="265">
        <v>6.55</v>
      </c>
      <c r="C10" s="264">
        <v>6.03</v>
      </c>
      <c r="D10" s="265">
        <v>5.28</v>
      </c>
      <c r="E10" s="282">
        <v>77694961.269999996</v>
      </c>
      <c r="F10" s="285">
        <v>163817773.90000001</v>
      </c>
      <c r="G10" s="268"/>
      <c r="H10" s="269"/>
      <c r="I10" s="270">
        <v>0</v>
      </c>
      <c r="J10" s="270">
        <v>0</v>
      </c>
      <c r="K10" s="270">
        <v>0</v>
      </c>
      <c r="L10" s="270">
        <f t="shared" si="0"/>
        <v>0</v>
      </c>
      <c r="M10" s="272">
        <v>0</v>
      </c>
      <c r="N10" s="415" t="s">
        <v>18</v>
      </c>
      <c r="O10" s="209">
        <v>0</v>
      </c>
    </row>
    <row r="11" spans="1:15" ht="22.5" customHeight="1" x14ac:dyDescent="0.35">
      <c r="A11" s="262" t="s">
        <v>19</v>
      </c>
      <c r="B11" s="286">
        <v>0.83</v>
      </c>
      <c r="C11" s="286">
        <v>0.66</v>
      </c>
      <c r="D11" s="278">
        <v>0.45</v>
      </c>
      <c r="E11" s="283">
        <v>-3640515.77</v>
      </c>
      <c r="F11" s="283">
        <v>-16458882.6</v>
      </c>
      <c r="G11" s="268">
        <f t="shared" si="1"/>
        <v>-1371573.55</v>
      </c>
      <c r="H11" s="269">
        <f t="shared" si="2"/>
        <v>2.6542621575051517</v>
      </c>
      <c r="I11" s="271">
        <v>3</v>
      </c>
      <c r="J11" s="271">
        <v>2</v>
      </c>
      <c r="K11" s="271">
        <v>2</v>
      </c>
      <c r="L11" s="271">
        <f t="shared" si="0"/>
        <v>7</v>
      </c>
      <c r="M11" s="272">
        <v>6</v>
      </c>
      <c r="N11" s="415" t="s">
        <v>19</v>
      </c>
      <c r="O11" s="209">
        <v>7</v>
      </c>
    </row>
    <row r="12" spans="1:15" ht="22.5" customHeight="1" x14ac:dyDescent="0.35">
      <c r="A12" s="262" t="s">
        <v>20</v>
      </c>
      <c r="B12" s="284">
        <v>1.27</v>
      </c>
      <c r="C12" s="265">
        <v>1.1100000000000001</v>
      </c>
      <c r="D12" s="265">
        <v>0.91</v>
      </c>
      <c r="E12" s="282">
        <v>3822047.54</v>
      </c>
      <c r="F12" s="283">
        <v>-9797050.1500000004</v>
      </c>
      <c r="G12" s="268">
        <f t="shared" si="1"/>
        <v>-816420.84583333333</v>
      </c>
      <c r="H12" s="269">
        <f t="shared" si="2"/>
        <v>-4.6814673578046344</v>
      </c>
      <c r="I12" s="271">
        <v>1</v>
      </c>
      <c r="J12" s="271">
        <v>1</v>
      </c>
      <c r="K12" s="270">
        <v>1</v>
      </c>
      <c r="L12" s="271">
        <f t="shared" si="0"/>
        <v>3</v>
      </c>
      <c r="M12" s="272">
        <v>3</v>
      </c>
      <c r="N12" s="415" t="s">
        <v>20</v>
      </c>
      <c r="O12" s="209">
        <v>3</v>
      </c>
    </row>
    <row r="13" spans="1:15" ht="22.5" customHeight="1" x14ac:dyDescent="0.35">
      <c r="A13" s="262" t="s">
        <v>21</v>
      </c>
      <c r="B13" s="264">
        <v>1.68</v>
      </c>
      <c r="C13" s="265">
        <v>1.52</v>
      </c>
      <c r="D13" s="265">
        <v>1.1399999999999999</v>
      </c>
      <c r="E13" s="285">
        <v>8473396.9700000007</v>
      </c>
      <c r="F13" s="283">
        <v>-2215919.3199999998</v>
      </c>
      <c r="G13" s="268">
        <f t="shared" si="1"/>
        <v>-184659.94333333333</v>
      </c>
      <c r="H13" s="269">
        <f t="shared" si="2"/>
        <v>-45.886491769925996</v>
      </c>
      <c r="I13" s="270">
        <v>0</v>
      </c>
      <c r="J13" s="271">
        <v>1</v>
      </c>
      <c r="K13" s="270">
        <v>0</v>
      </c>
      <c r="L13" s="271">
        <f t="shared" si="0"/>
        <v>1</v>
      </c>
      <c r="M13" s="272">
        <v>1</v>
      </c>
      <c r="N13" s="415" t="s">
        <v>21</v>
      </c>
      <c r="O13" s="209">
        <v>1</v>
      </c>
    </row>
    <row r="14" spans="1:15" ht="22.5" customHeight="1" x14ac:dyDescent="0.35">
      <c r="A14" s="262" t="s">
        <v>22</v>
      </c>
      <c r="B14" s="286">
        <v>0.87</v>
      </c>
      <c r="C14" s="286">
        <v>0.64</v>
      </c>
      <c r="D14" s="286">
        <v>0.4</v>
      </c>
      <c r="E14" s="283">
        <v>-1803836.39</v>
      </c>
      <c r="F14" s="285">
        <v>3341590.65</v>
      </c>
      <c r="G14" s="268"/>
      <c r="H14" s="269"/>
      <c r="I14" s="271">
        <v>3</v>
      </c>
      <c r="J14" s="270">
        <v>1</v>
      </c>
      <c r="K14" s="270">
        <v>0</v>
      </c>
      <c r="L14" s="271">
        <f t="shared" si="0"/>
        <v>4</v>
      </c>
      <c r="M14" s="272">
        <v>3</v>
      </c>
      <c r="N14" s="415" t="s">
        <v>22</v>
      </c>
      <c r="O14" s="209">
        <v>4</v>
      </c>
    </row>
    <row r="15" spans="1:15" ht="22.5" customHeight="1" x14ac:dyDescent="0.35">
      <c r="A15" s="262" t="s">
        <v>23</v>
      </c>
      <c r="B15" s="265">
        <v>6.45</v>
      </c>
      <c r="C15" s="287">
        <v>6.27</v>
      </c>
      <c r="D15" s="264">
        <v>6</v>
      </c>
      <c r="E15" s="282">
        <v>122422204.81</v>
      </c>
      <c r="F15" s="285">
        <v>47443041.229999997</v>
      </c>
      <c r="G15" s="268"/>
      <c r="H15" s="269"/>
      <c r="I15" s="270">
        <v>0</v>
      </c>
      <c r="J15" s="270">
        <v>0</v>
      </c>
      <c r="K15" s="270">
        <v>0</v>
      </c>
      <c r="L15" s="271">
        <f t="shared" si="0"/>
        <v>0</v>
      </c>
      <c r="M15" s="272">
        <v>0</v>
      </c>
      <c r="N15" s="415" t="s">
        <v>23</v>
      </c>
      <c r="O15" s="209">
        <v>0</v>
      </c>
    </row>
    <row r="16" spans="1:15" ht="22.5" customHeight="1" x14ac:dyDescent="0.35">
      <c r="A16" s="262" t="s">
        <v>24</v>
      </c>
      <c r="B16" s="264">
        <v>2.4</v>
      </c>
      <c r="C16" s="265">
        <v>2.15</v>
      </c>
      <c r="D16" s="264">
        <v>1.76</v>
      </c>
      <c r="E16" s="285">
        <v>8076732.71</v>
      </c>
      <c r="F16" s="275">
        <v>2900649.01</v>
      </c>
      <c r="G16" s="268"/>
      <c r="H16" s="269"/>
      <c r="I16" s="270">
        <v>0</v>
      </c>
      <c r="J16" s="271">
        <v>0</v>
      </c>
      <c r="K16" s="270">
        <v>0</v>
      </c>
      <c r="L16" s="271">
        <f t="shared" si="0"/>
        <v>0</v>
      </c>
      <c r="M16" s="272">
        <v>1</v>
      </c>
      <c r="N16" s="415" t="s">
        <v>24</v>
      </c>
      <c r="O16" s="209">
        <v>0</v>
      </c>
    </row>
    <row r="17" spans="1:15" ht="22.5" customHeight="1" x14ac:dyDescent="0.35">
      <c r="A17" s="262" t="s">
        <v>25</v>
      </c>
      <c r="B17" s="277">
        <v>1.24</v>
      </c>
      <c r="C17" s="264">
        <v>1.1000000000000001</v>
      </c>
      <c r="D17" s="286">
        <v>0.61</v>
      </c>
      <c r="E17" s="285">
        <v>3834054.6</v>
      </c>
      <c r="F17" s="283">
        <v>-4035487.31</v>
      </c>
      <c r="G17" s="268">
        <f t="shared" si="1"/>
        <v>-336290.60916666669</v>
      </c>
      <c r="H17" s="269">
        <f t="shared" si="2"/>
        <v>-11.401015953139002</v>
      </c>
      <c r="I17" s="271">
        <v>2</v>
      </c>
      <c r="J17" s="271">
        <v>1</v>
      </c>
      <c r="K17" s="270">
        <v>0</v>
      </c>
      <c r="L17" s="271">
        <f t="shared" si="0"/>
        <v>3</v>
      </c>
      <c r="M17" s="272">
        <v>3</v>
      </c>
      <c r="N17" s="415" t="s">
        <v>25</v>
      </c>
      <c r="O17" s="209">
        <v>3</v>
      </c>
    </row>
    <row r="18" spans="1:15" ht="22.5" customHeight="1" x14ac:dyDescent="0.35">
      <c r="A18" s="262" t="s">
        <v>26</v>
      </c>
      <c r="B18" s="286">
        <v>0.69</v>
      </c>
      <c r="C18" s="286">
        <v>0.61</v>
      </c>
      <c r="D18" s="284">
        <v>0.47</v>
      </c>
      <c r="E18" s="267">
        <v>-4563076.51</v>
      </c>
      <c r="F18" s="283">
        <v>-1729835.19</v>
      </c>
      <c r="G18" s="268">
        <f t="shared" si="1"/>
        <v>-144152.9325</v>
      </c>
      <c r="H18" s="269">
        <f t="shared" si="2"/>
        <v>31.654413343273472</v>
      </c>
      <c r="I18" s="271">
        <v>3</v>
      </c>
      <c r="J18" s="271">
        <v>2</v>
      </c>
      <c r="K18" s="276">
        <v>2</v>
      </c>
      <c r="L18" s="271">
        <f t="shared" si="0"/>
        <v>7</v>
      </c>
      <c r="M18" s="272">
        <v>7</v>
      </c>
      <c r="N18" s="415" t="s">
        <v>26</v>
      </c>
      <c r="O18" s="209">
        <v>7</v>
      </c>
    </row>
    <row r="19" spans="1:15" ht="22.5" customHeight="1" x14ac:dyDescent="0.35">
      <c r="A19" s="262" t="s">
        <v>27</v>
      </c>
      <c r="B19" s="284">
        <v>0.88</v>
      </c>
      <c r="C19" s="284">
        <v>0.75</v>
      </c>
      <c r="D19" s="284">
        <v>0.46</v>
      </c>
      <c r="E19" s="283">
        <v>-942526.15</v>
      </c>
      <c r="F19" s="283">
        <v>-6111450.0099999998</v>
      </c>
      <c r="G19" s="268">
        <f t="shared" si="1"/>
        <v>-509287.5008333333</v>
      </c>
      <c r="H19" s="269">
        <f t="shared" si="2"/>
        <v>1.8506759903939722</v>
      </c>
      <c r="I19" s="271">
        <v>3</v>
      </c>
      <c r="J19" s="271">
        <v>2</v>
      </c>
      <c r="K19" s="271">
        <v>2</v>
      </c>
      <c r="L19" s="271">
        <f t="shared" si="0"/>
        <v>7</v>
      </c>
      <c r="M19" s="272">
        <v>7</v>
      </c>
      <c r="N19" s="415" t="s">
        <v>27</v>
      </c>
      <c r="O19" s="209">
        <v>7</v>
      </c>
    </row>
    <row r="20" spans="1:15" ht="22.5" customHeight="1" x14ac:dyDescent="0.35">
      <c r="B20" s="12"/>
      <c r="C20" s="12"/>
      <c r="D20" s="12"/>
      <c r="E20" s="12"/>
      <c r="F20" s="12"/>
      <c r="H20" s="249"/>
    </row>
    <row r="21" spans="1:15" ht="22.5" customHeight="1" x14ac:dyDescent="0.55000000000000004">
      <c r="A21" s="14"/>
      <c r="B21" s="15"/>
      <c r="C21" s="15"/>
      <c r="D21" s="15"/>
      <c r="E21" s="16"/>
      <c r="F21" s="16"/>
      <c r="G21" s="250" t="s">
        <v>28</v>
      </c>
      <c r="H21" s="251"/>
      <c r="I21" s="252"/>
      <c r="J21" s="20"/>
      <c r="K21" s="21"/>
      <c r="L21" s="21"/>
      <c r="M21" s="21"/>
    </row>
    <row r="22" spans="1:15" ht="26.25" x14ac:dyDescent="0.55000000000000004">
      <c r="A22" s="140" t="s">
        <v>29</v>
      </c>
      <c r="B22" s="16"/>
      <c r="C22" s="16"/>
      <c r="D22" s="16"/>
      <c r="E22" s="16"/>
      <c r="F22" s="16"/>
      <c r="G22" s="23" t="s">
        <v>30</v>
      </c>
      <c r="H22" s="666" t="s">
        <v>31</v>
      </c>
      <c r="I22" s="666"/>
      <c r="J22" s="24" t="s">
        <v>32</v>
      </c>
      <c r="K22" s="25"/>
      <c r="L22" s="26"/>
      <c r="M22" s="26"/>
    </row>
    <row r="23" spans="1:15" ht="26.25" x14ac:dyDescent="0.55000000000000004">
      <c r="A23" s="140"/>
      <c r="B23" s="16"/>
      <c r="C23" s="16"/>
      <c r="D23" s="16"/>
      <c r="E23" s="16"/>
      <c r="F23" s="16"/>
      <c r="G23" s="27" t="s">
        <v>33</v>
      </c>
      <c r="H23" s="666"/>
      <c r="I23" s="666"/>
      <c r="J23" s="24" t="s">
        <v>34</v>
      </c>
      <c r="K23" s="25"/>
      <c r="L23" s="26"/>
      <c r="M23" s="26"/>
    </row>
    <row r="24" spans="1:15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70</v>
      </c>
      <c r="H24" s="666" t="s">
        <v>31</v>
      </c>
      <c r="I24" s="666"/>
      <c r="J24" s="644" t="s">
        <v>37</v>
      </c>
      <c r="K24" s="645"/>
      <c r="L24" s="645"/>
    </row>
    <row r="25" spans="1:15" ht="26.25" x14ac:dyDescent="0.55000000000000004">
      <c r="A25" s="140"/>
      <c r="B25" s="16"/>
      <c r="C25" s="16"/>
      <c r="D25" s="16"/>
      <c r="E25" s="16"/>
      <c r="F25" s="16"/>
      <c r="G25" s="27" t="s">
        <v>33</v>
      </c>
      <c r="H25" s="666"/>
      <c r="I25" s="666"/>
      <c r="J25" s="24" t="s">
        <v>34</v>
      </c>
      <c r="K25" s="30"/>
      <c r="L25" s="31"/>
      <c r="M25" s="31"/>
    </row>
    <row r="26" spans="1:15" ht="26.25" x14ac:dyDescent="0.55000000000000004">
      <c r="A26" s="140" t="s">
        <v>38</v>
      </c>
      <c r="B26" s="16"/>
      <c r="C26" s="16"/>
      <c r="D26" s="16"/>
      <c r="E26" s="16"/>
      <c r="F26" s="27" t="s">
        <v>39</v>
      </c>
      <c r="G26" s="674" t="s">
        <v>31</v>
      </c>
      <c r="H26" s="674"/>
      <c r="I26" s="32" t="s">
        <v>40</v>
      </c>
      <c r="J26" s="33"/>
      <c r="K26" s="34"/>
      <c r="L26" s="34"/>
      <c r="M26" s="34"/>
    </row>
    <row r="27" spans="1:15" ht="26.25" x14ac:dyDescent="0.55000000000000004">
      <c r="A27" s="253" t="s">
        <v>41</v>
      </c>
      <c r="B27" s="16"/>
      <c r="C27" s="16"/>
      <c r="D27" s="16"/>
      <c r="E27" s="16"/>
      <c r="F27" s="36" t="s">
        <v>71</v>
      </c>
      <c r="G27" s="37"/>
      <c r="H27" s="254"/>
      <c r="I27" s="32" t="s">
        <v>43</v>
      </c>
      <c r="J27" s="33"/>
      <c r="K27" s="31"/>
      <c r="L27" s="31"/>
      <c r="M27" s="31"/>
    </row>
    <row r="28" spans="1:15" ht="11.25" customHeight="1" x14ac:dyDescent="0.55000000000000004">
      <c r="F28" s="16"/>
      <c r="G28" s="39"/>
      <c r="H28" s="40"/>
      <c r="I28" s="39"/>
      <c r="J28" s="39"/>
      <c r="K28" s="41"/>
      <c r="L28" s="41"/>
      <c r="M28" s="41"/>
    </row>
    <row r="29" spans="1:15" ht="23.25" customHeight="1" x14ac:dyDescent="0.55000000000000004">
      <c r="A29" s="39"/>
      <c r="B29" s="16"/>
      <c r="C29" s="16"/>
      <c r="D29" s="16"/>
      <c r="E29" s="16"/>
      <c r="F29" s="16"/>
      <c r="G29" s="23" t="s">
        <v>72</v>
      </c>
      <c r="H29" s="666" t="s">
        <v>31</v>
      </c>
      <c r="I29" s="666"/>
      <c r="J29" s="24" t="s">
        <v>32</v>
      </c>
      <c r="K29" s="25"/>
      <c r="L29" s="26"/>
      <c r="M29" s="26"/>
    </row>
    <row r="30" spans="1:15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66"/>
      <c r="I30" s="666"/>
      <c r="J30" s="24" t="s">
        <v>34</v>
      </c>
      <c r="K30" s="25"/>
      <c r="L30" s="26"/>
      <c r="M30" s="26"/>
    </row>
    <row r="31" spans="1:15" ht="26.25" x14ac:dyDescent="0.55000000000000004">
      <c r="A31" s="140" t="s">
        <v>94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  <c r="M31" s="41"/>
    </row>
    <row r="32" spans="1:15" ht="26.25" x14ac:dyDescent="0.55000000000000004">
      <c r="A32" s="140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  <c r="M32" s="41"/>
    </row>
    <row r="33" spans="1:13" ht="26.25" x14ac:dyDescent="0.55000000000000004">
      <c r="A33" s="140" t="s">
        <v>95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  <c r="M33" s="41"/>
    </row>
    <row r="34" spans="1:13" ht="26.25" x14ac:dyDescent="0.55000000000000004">
      <c r="A34" s="140" t="s">
        <v>96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  <c r="M34" s="41"/>
    </row>
    <row r="35" spans="1:13" ht="26.25" x14ac:dyDescent="0.55000000000000004">
      <c r="A35" s="140" t="s">
        <v>97</v>
      </c>
      <c r="B35" s="16"/>
      <c r="C35" s="140"/>
      <c r="D35" s="255"/>
      <c r="E35" s="255"/>
      <c r="F35" s="255"/>
      <c r="G35" s="256"/>
      <c r="H35" s="40"/>
      <c r="I35" s="39"/>
      <c r="J35" s="39"/>
      <c r="K35" s="41"/>
      <c r="L35" s="41"/>
      <c r="M35" s="41"/>
    </row>
    <row r="36" spans="1:13" ht="26.25" x14ac:dyDescent="0.55000000000000004">
      <c r="A36" s="39"/>
      <c r="B36" s="16"/>
      <c r="C36" s="140" t="s">
        <v>50</v>
      </c>
      <c r="D36" s="16"/>
      <c r="E36" s="16"/>
      <c r="F36" s="16"/>
      <c r="G36" s="39"/>
      <c r="H36" s="40"/>
      <c r="I36" s="39"/>
      <c r="J36" s="39"/>
      <c r="K36" s="41"/>
      <c r="L36" s="41"/>
      <c r="M36" s="41"/>
    </row>
    <row r="37" spans="1:13" ht="26.25" x14ac:dyDescent="0.55000000000000004">
      <c r="A37" s="39"/>
      <c r="B37" s="16"/>
      <c r="C37" s="140" t="s">
        <v>51</v>
      </c>
      <c r="D37" s="16"/>
      <c r="E37" s="16"/>
      <c r="F37" s="16"/>
      <c r="G37" s="39"/>
      <c r="H37" s="40"/>
      <c r="I37" s="39"/>
      <c r="J37" s="39"/>
      <c r="K37" s="41"/>
      <c r="L37" s="41"/>
      <c r="M37" s="41"/>
    </row>
    <row r="38" spans="1:13" ht="26.25" x14ac:dyDescent="0.55000000000000004">
      <c r="A38" s="39"/>
      <c r="B38" s="16"/>
      <c r="C38" s="140" t="s">
        <v>52</v>
      </c>
      <c r="D38" s="16"/>
      <c r="E38" s="16"/>
      <c r="F38" s="16"/>
      <c r="G38" s="39"/>
      <c r="H38" s="40"/>
      <c r="I38" s="39"/>
      <c r="J38" s="39"/>
      <c r="K38" s="41"/>
      <c r="L38" s="41"/>
      <c r="M38" s="41"/>
    </row>
    <row r="39" spans="1:13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  <c r="M39" s="41"/>
    </row>
    <row r="40" spans="1:13" ht="26.25" x14ac:dyDescent="0.55000000000000004">
      <c r="A40" s="140" t="s">
        <v>98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  <c r="M40" s="41"/>
    </row>
    <row r="41" spans="1:13" s="47" customFormat="1" ht="26.25" x14ac:dyDescent="0.55000000000000004">
      <c r="A41" s="663" t="s">
        <v>55</v>
      </c>
      <c r="B41" s="663"/>
      <c r="C41" s="663"/>
      <c r="D41" s="16"/>
      <c r="E41" s="16"/>
      <c r="F41" s="16"/>
      <c r="G41" s="16"/>
      <c r="H41" s="46"/>
      <c r="I41" s="39"/>
      <c r="J41" s="39"/>
      <c r="K41" s="39"/>
      <c r="L41" s="39"/>
      <c r="M41" s="39"/>
    </row>
    <row r="45" spans="1:13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  <c r="M45" s="54"/>
    </row>
    <row r="48" spans="1:13" ht="15" x14ac:dyDescent="0.2">
      <c r="I48" s="55"/>
      <c r="J48" s="55"/>
      <c r="K48" s="55"/>
      <c r="L48" s="55"/>
      <c r="M48" s="55"/>
    </row>
  </sheetData>
  <mergeCells count="18">
    <mergeCell ref="A41:C41"/>
    <mergeCell ref="G2:G3"/>
    <mergeCell ref="I2:I3"/>
    <mergeCell ref="J2:J3"/>
    <mergeCell ref="K2:K3"/>
    <mergeCell ref="H22:I23"/>
    <mergeCell ref="H24:I25"/>
    <mergeCell ref="J24:L24"/>
    <mergeCell ref="G26:H26"/>
    <mergeCell ref="H29:I30"/>
    <mergeCell ref="L2:L3"/>
    <mergeCell ref="M2:M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0" zoomScale="80" zoomScaleNormal="80" workbookViewId="0">
      <selection activeCell="A19" sqref="A19"/>
    </sheetView>
  </sheetViews>
  <sheetFormatPr defaultRowHeight="14.25" x14ac:dyDescent="0.2"/>
  <cols>
    <col min="1" max="1" width="23.375" customWidth="1"/>
    <col min="2" max="4" width="13.625" customWidth="1"/>
    <col min="5" max="5" width="19.875" customWidth="1"/>
    <col min="6" max="6" width="20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2.375" customWidth="1"/>
    <col min="13" max="13" width="18.875" customWidth="1"/>
  </cols>
  <sheetData>
    <row r="1" spans="1:13" ht="41.25" customHeight="1" thickBot="1" x14ac:dyDescent="0.45">
      <c r="A1" s="1" t="s">
        <v>57</v>
      </c>
      <c r="E1" s="2"/>
      <c r="H1" s="3" t="s">
        <v>0</v>
      </c>
    </row>
    <row r="2" spans="1:13" ht="41.25" customHeight="1" x14ac:dyDescent="0.2">
      <c r="A2" s="638" t="s">
        <v>1</v>
      </c>
      <c r="B2" s="638" t="s">
        <v>2</v>
      </c>
      <c r="C2" s="638" t="s">
        <v>3</v>
      </c>
      <c r="D2" s="638" t="s">
        <v>4</v>
      </c>
      <c r="E2" s="641" t="s">
        <v>5</v>
      </c>
      <c r="F2" s="638" t="s">
        <v>6</v>
      </c>
      <c r="G2" s="679" t="s">
        <v>7</v>
      </c>
      <c r="H2" s="4" t="s">
        <v>8</v>
      </c>
      <c r="I2" s="649" t="s">
        <v>9</v>
      </c>
      <c r="J2" s="649" t="s">
        <v>10</v>
      </c>
      <c r="K2" s="649" t="s">
        <v>11</v>
      </c>
      <c r="L2" s="651" t="s">
        <v>59</v>
      </c>
    </row>
    <row r="3" spans="1:13" ht="74.25" customHeight="1" thickBot="1" x14ac:dyDescent="0.25">
      <c r="A3" s="639"/>
      <c r="B3" s="639"/>
      <c r="C3" s="639"/>
      <c r="D3" s="639"/>
      <c r="E3" s="642"/>
      <c r="F3" s="639"/>
      <c r="G3" s="680"/>
      <c r="H3" s="5"/>
      <c r="I3" s="650"/>
      <c r="J3" s="650"/>
      <c r="K3" s="650"/>
      <c r="L3" s="662"/>
    </row>
    <row r="4" spans="1:13" ht="35.1" customHeight="1" thickTop="1" thickBot="1" x14ac:dyDescent="0.55000000000000004">
      <c r="A4" s="59" t="s">
        <v>12</v>
      </c>
      <c r="B4" s="61">
        <v>3.73</v>
      </c>
      <c r="C4" s="61">
        <v>3.6</v>
      </c>
      <c r="D4" s="61">
        <v>2.58</v>
      </c>
      <c r="E4" s="62">
        <v>551654149.66999996</v>
      </c>
      <c r="F4" s="63">
        <v>33772973.039999999</v>
      </c>
      <c r="G4" s="6">
        <f>SUM(F4/1)</f>
        <v>33772973.039999999</v>
      </c>
      <c r="H4" s="9">
        <f>SUM(E4/G4)</f>
        <v>16.334189738541301</v>
      </c>
      <c r="I4" s="7">
        <v>0</v>
      </c>
      <c r="J4" s="8">
        <v>0</v>
      </c>
      <c r="K4" s="8">
        <v>0</v>
      </c>
      <c r="L4" s="11">
        <f>SUM(I4:K4)</f>
        <v>0</v>
      </c>
      <c r="M4" s="83">
        <f>E4+F4</f>
        <v>585427122.70999992</v>
      </c>
    </row>
    <row r="5" spans="1:13" ht="35.1" customHeight="1" thickTop="1" thickBot="1" x14ac:dyDescent="0.55000000000000004">
      <c r="A5" s="59" t="s">
        <v>13</v>
      </c>
      <c r="B5" s="61">
        <v>1.71</v>
      </c>
      <c r="C5" s="61">
        <v>1.43</v>
      </c>
      <c r="D5" s="61">
        <v>0.83</v>
      </c>
      <c r="E5" s="62">
        <v>61490675.159999996</v>
      </c>
      <c r="F5" s="64">
        <v>-5916096.4100000001</v>
      </c>
      <c r="G5" s="6">
        <f t="shared" ref="G5:G19" si="0">SUM(F5/1)</f>
        <v>-5916096.4100000001</v>
      </c>
      <c r="H5" s="9">
        <f t="shared" ref="H5:H19" si="1">SUM(E5/G5)</f>
        <v>-10.393791936193278</v>
      </c>
      <c r="I5" s="7">
        <v>0</v>
      </c>
      <c r="J5" s="11">
        <v>1</v>
      </c>
      <c r="K5" s="8">
        <v>0</v>
      </c>
      <c r="L5" s="11">
        <f t="shared" ref="L5:L19" si="2">SUM(I5:K5)</f>
        <v>1</v>
      </c>
    </row>
    <row r="6" spans="1:13" ht="35.1" customHeight="1" thickTop="1" thickBot="1" x14ac:dyDescent="0.55000000000000004">
      <c r="A6" s="59" t="s">
        <v>14</v>
      </c>
      <c r="B6" s="65">
        <v>1.03</v>
      </c>
      <c r="C6" s="65">
        <v>0.8</v>
      </c>
      <c r="D6" s="65">
        <v>0.66</v>
      </c>
      <c r="E6" s="62">
        <v>859012.62</v>
      </c>
      <c r="F6" s="64">
        <v>-1134441.07</v>
      </c>
      <c r="G6" s="6">
        <f t="shared" si="0"/>
        <v>-1134441.07</v>
      </c>
      <c r="H6" s="9">
        <f t="shared" si="1"/>
        <v>-0.75721220142356094</v>
      </c>
      <c r="I6" s="10">
        <v>3</v>
      </c>
      <c r="J6" s="11">
        <v>1</v>
      </c>
      <c r="K6" s="11">
        <v>2</v>
      </c>
      <c r="L6" s="11">
        <f t="shared" si="2"/>
        <v>6</v>
      </c>
    </row>
    <row r="7" spans="1:13" ht="35.1" customHeight="1" thickTop="1" thickBot="1" x14ac:dyDescent="0.55000000000000004">
      <c r="A7" s="59" t="s">
        <v>15</v>
      </c>
      <c r="B7" s="61">
        <v>1.72</v>
      </c>
      <c r="C7" s="61">
        <v>1.6</v>
      </c>
      <c r="D7" s="61">
        <v>1.27</v>
      </c>
      <c r="E7" s="62">
        <v>11416455.560000001</v>
      </c>
      <c r="F7" s="64">
        <v>-1833094.1</v>
      </c>
      <c r="G7" s="6">
        <f t="shared" si="0"/>
        <v>-1833094.1</v>
      </c>
      <c r="H7" s="9">
        <f t="shared" si="1"/>
        <v>-6.2279702716843612</v>
      </c>
      <c r="I7" s="7">
        <v>0</v>
      </c>
      <c r="J7" s="11">
        <v>1</v>
      </c>
      <c r="K7" s="8">
        <v>0</v>
      </c>
      <c r="L7" s="11">
        <f t="shared" si="2"/>
        <v>1</v>
      </c>
    </row>
    <row r="8" spans="1:13" ht="35.1" customHeight="1" thickTop="1" thickBot="1" x14ac:dyDescent="0.55000000000000004">
      <c r="A8" s="59" t="s">
        <v>16</v>
      </c>
      <c r="B8" s="61">
        <v>2.56</v>
      </c>
      <c r="C8" s="61">
        <v>2.27</v>
      </c>
      <c r="D8" s="61">
        <v>1.68</v>
      </c>
      <c r="E8" s="62">
        <v>15949058.82</v>
      </c>
      <c r="F8" s="64">
        <v>-1246977.2</v>
      </c>
      <c r="G8" s="6">
        <f t="shared" si="0"/>
        <v>-1246977.2</v>
      </c>
      <c r="H8" s="9">
        <f t="shared" si="1"/>
        <v>-12.790176773079732</v>
      </c>
      <c r="I8" s="7">
        <v>0</v>
      </c>
      <c r="J8" s="11">
        <v>1</v>
      </c>
      <c r="K8" s="8">
        <v>0</v>
      </c>
      <c r="L8" s="11">
        <f t="shared" si="2"/>
        <v>1</v>
      </c>
    </row>
    <row r="9" spans="1:13" ht="35.1" customHeight="1" thickTop="1" thickBot="1" x14ac:dyDescent="0.55000000000000004">
      <c r="A9" s="59" t="s">
        <v>17</v>
      </c>
      <c r="B9" s="65">
        <v>0.97</v>
      </c>
      <c r="C9" s="65">
        <v>0.83</v>
      </c>
      <c r="D9" s="65">
        <v>0.65</v>
      </c>
      <c r="E9" s="60">
        <v>-534997.93999999994</v>
      </c>
      <c r="F9" s="64">
        <v>-137779.96</v>
      </c>
      <c r="G9" s="6">
        <f t="shared" si="0"/>
        <v>-137779.96</v>
      </c>
      <c r="H9" s="9">
        <f t="shared" si="1"/>
        <v>3.8829880629955182</v>
      </c>
      <c r="I9" s="10">
        <v>3</v>
      </c>
      <c r="J9" s="11">
        <v>2</v>
      </c>
      <c r="K9" s="11">
        <v>2</v>
      </c>
      <c r="L9" s="11">
        <f t="shared" si="2"/>
        <v>7</v>
      </c>
    </row>
    <row r="10" spans="1:13" ht="35.1" customHeight="1" thickTop="1" thickBot="1" x14ac:dyDescent="0.55000000000000004">
      <c r="A10" s="59" t="s">
        <v>18</v>
      </c>
      <c r="B10" s="61">
        <v>4.68</v>
      </c>
      <c r="C10" s="61">
        <v>4.3099999999999996</v>
      </c>
      <c r="D10" s="61">
        <v>3.77</v>
      </c>
      <c r="E10" s="62">
        <v>79700095.370000005</v>
      </c>
      <c r="F10" s="63">
        <v>1771986.68</v>
      </c>
      <c r="G10" s="6">
        <f t="shared" si="0"/>
        <v>1771986.68</v>
      </c>
      <c r="H10" s="9">
        <f t="shared" si="1"/>
        <v>44.977818552225237</v>
      </c>
      <c r="I10" s="7">
        <v>0</v>
      </c>
      <c r="J10" s="8">
        <v>0</v>
      </c>
      <c r="K10" s="8">
        <v>0</v>
      </c>
      <c r="L10" s="11">
        <f t="shared" si="2"/>
        <v>0</v>
      </c>
    </row>
    <row r="11" spans="1:13" ht="35.1" customHeight="1" thickTop="1" thickBot="1" x14ac:dyDescent="0.55000000000000004">
      <c r="A11" s="59" t="s">
        <v>19</v>
      </c>
      <c r="B11" s="65">
        <v>0.85</v>
      </c>
      <c r="C11" s="65">
        <v>0.65</v>
      </c>
      <c r="D11" s="65">
        <v>0.45</v>
      </c>
      <c r="E11" s="60">
        <v>-3495465.66</v>
      </c>
      <c r="F11" s="63">
        <v>332555.21999999997</v>
      </c>
      <c r="G11" s="6">
        <f t="shared" si="0"/>
        <v>332555.21999999997</v>
      </c>
      <c r="H11" s="56">
        <f t="shared" si="1"/>
        <v>-10.510933071506141</v>
      </c>
      <c r="I11" s="10">
        <v>3</v>
      </c>
      <c r="J11" s="11">
        <v>1</v>
      </c>
      <c r="K11" s="8">
        <v>0</v>
      </c>
      <c r="L11" s="11">
        <f t="shared" si="2"/>
        <v>4</v>
      </c>
    </row>
    <row r="12" spans="1:13" ht="35.1" customHeight="1" thickTop="1" thickBot="1" x14ac:dyDescent="0.55000000000000004">
      <c r="A12" s="59" t="s">
        <v>20</v>
      </c>
      <c r="B12" s="65">
        <v>1.24</v>
      </c>
      <c r="C12" s="61">
        <v>1.05</v>
      </c>
      <c r="D12" s="61">
        <v>0.83</v>
      </c>
      <c r="E12" s="62">
        <v>3711445.44</v>
      </c>
      <c r="F12" s="63">
        <v>870496.84</v>
      </c>
      <c r="G12" s="6">
        <f t="shared" si="0"/>
        <v>870496.84</v>
      </c>
      <c r="H12" s="9">
        <f t="shared" si="1"/>
        <v>4.2635943859371164</v>
      </c>
      <c r="I12" s="10">
        <v>1</v>
      </c>
      <c r="J12" s="8">
        <v>0</v>
      </c>
      <c r="K12" s="8">
        <v>0</v>
      </c>
      <c r="L12" s="11">
        <f t="shared" si="2"/>
        <v>1</v>
      </c>
    </row>
    <row r="13" spans="1:13" ht="35.1" customHeight="1" thickTop="1" thickBot="1" x14ac:dyDescent="0.55000000000000004">
      <c r="A13" s="59" t="s">
        <v>21</v>
      </c>
      <c r="B13" s="61">
        <v>1.62</v>
      </c>
      <c r="C13" s="61">
        <v>1.41</v>
      </c>
      <c r="D13" s="61">
        <v>1.02</v>
      </c>
      <c r="E13" s="62">
        <v>7940003.9800000004</v>
      </c>
      <c r="F13" s="64">
        <v>-870270.15</v>
      </c>
      <c r="G13" s="6">
        <f t="shared" si="0"/>
        <v>-870270.15</v>
      </c>
      <c r="H13" s="9">
        <f t="shared" si="1"/>
        <v>-9.123608318635311</v>
      </c>
      <c r="I13" s="7">
        <v>0</v>
      </c>
      <c r="J13" s="11">
        <v>1</v>
      </c>
      <c r="K13" s="8">
        <v>0</v>
      </c>
      <c r="L13" s="11">
        <f t="shared" si="2"/>
        <v>1</v>
      </c>
    </row>
    <row r="14" spans="1:13" ht="35.1" customHeight="1" thickTop="1" thickBot="1" x14ac:dyDescent="0.55000000000000004">
      <c r="A14" s="59" t="s">
        <v>22</v>
      </c>
      <c r="B14" s="65">
        <v>0.75</v>
      </c>
      <c r="C14" s="65">
        <v>0.56000000000000005</v>
      </c>
      <c r="D14" s="65">
        <v>0.3</v>
      </c>
      <c r="E14" s="60">
        <v>-3900076.53</v>
      </c>
      <c r="F14" s="64">
        <v>-1965998.2</v>
      </c>
      <c r="G14" s="6">
        <f t="shared" si="0"/>
        <v>-1965998.2</v>
      </c>
      <c r="H14" s="9">
        <f t="shared" si="1"/>
        <v>1.9837640390515108</v>
      </c>
      <c r="I14" s="10">
        <v>3</v>
      </c>
      <c r="J14" s="11">
        <v>2</v>
      </c>
      <c r="K14" s="11">
        <v>2</v>
      </c>
      <c r="L14" s="11">
        <f t="shared" si="2"/>
        <v>7</v>
      </c>
    </row>
    <row r="15" spans="1:13" ht="35.1" customHeight="1" thickTop="1" thickBot="1" x14ac:dyDescent="0.55000000000000004">
      <c r="A15" s="59" t="s">
        <v>23</v>
      </c>
      <c r="B15" s="61">
        <v>4.83</v>
      </c>
      <c r="C15" s="61">
        <v>4.6900000000000004</v>
      </c>
      <c r="D15" s="61">
        <v>4.46</v>
      </c>
      <c r="E15" s="62">
        <v>122449322.81</v>
      </c>
      <c r="F15" s="64">
        <v>-1767799.65</v>
      </c>
      <c r="G15" s="6">
        <f t="shared" si="0"/>
        <v>-1767799.65</v>
      </c>
      <c r="H15" s="9">
        <f t="shared" si="1"/>
        <v>-69.266516038737763</v>
      </c>
      <c r="I15" s="7">
        <v>0</v>
      </c>
      <c r="J15" s="11">
        <v>1</v>
      </c>
      <c r="K15" s="8">
        <v>0</v>
      </c>
      <c r="L15" s="11">
        <f t="shared" si="2"/>
        <v>1</v>
      </c>
    </row>
    <row r="16" spans="1:13" ht="35.1" customHeight="1" thickTop="1" thickBot="1" x14ac:dyDescent="0.55000000000000004">
      <c r="A16" s="59" t="s">
        <v>24</v>
      </c>
      <c r="B16" s="61">
        <v>2.27</v>
      </c>
      <c r="C16" s="61">
        <v>2.0299999999999998</v>
      </c>
      <c r="D16" s="61">
        <v>1.83</v>
      </c>
      <c r="E16" s="62">
        <v>7502836.6699999999</v>
      </c>
      <c r="F16" s="64">
        <v>-455444.86</v>
      </c>
      <c r="G16" s="6">
        <f t="shared" si="0"/>
        <v>-455444.86</v>
      </c>
      <c r="H16" s="9">
        <f t="shared" si="1"/>
        <v>-16.473644405603789</v>
      </c>
      <c r="I16" s="7">
        <v>0</v>
      </c>
      <c r="J16" s="11">
        <v>1</v>
      </c>
      <c r="K16" s="8">
        <v>0</v>
      </c>
      <c r="L16" s="11">
        <f t="shared" si="2"/>
        <v>1</v>
      </c>
    </row>
    <row r="17" spans="1:12" ht="35.1" customHeight="1" thickTop="1" thickBot="1" x14ac:dyDescent="0.55000000000000004">
      <c r="A17" s="59" t="s">
        <v>25</v>
      </c>
      <c r="B17" s="65">
        <v>1.18</v>
      </c>
      <c r="C17" s="61">
        <v>1.04</v>
      </c>
      <c r="D17" s="65">
        <v>0.61</v>
      </c>
      <c r="E17" s="62">
        <v>3498462.01</v>
      </c>
      <c r="F17" s="64">
        <v>-1687625.43</v>
      </c>
      <c r="G17" s="6">
        <f t="shared" si="0"/>
        <v>-1687625.43</v>
      </c>
      <c r="H17" s="9">
        <f t="shared" si="1"/>
        <v>-2.073008588167577</v>
      </c>
      <c r="I17" s="10">
        <v>2</v>
      </c>
      <c r="J17" s="11">
        <v>1</v>
      </c>
      <c r="K17" s="11">
        <v>2</v>
      </c>
      <c r="L17" s="11">
        <f t="shared" si="2"/>
        <v>5</v>
      </c>
    </row>
    <row r="18" spans="1:12" ht="35.1" customHeight="1" thickTop="1" thickBot="1" x14ac:dyDescent="0.55000000000000004">
      <c r="A18" s="59" t="s">
        <v>26</v>
      </c>
      <c r="B18" s="65">
        <v>0.69</v>
      </c>
      <c r="C18" s="65">
        <v>0.56999999999999995</v>
      </c>
      <c r="D18" s="65">
        <v>0.41</v>
      </c>
      <c r="E18" s="60">
        <v>-4251164.79</v>
      </c>
      <c r="F18" s="63">
        <v>415211.06</v>
      </c>
      <c r="G18" s="6">
        <f t="shared" si="0"/>
        <v>415211.06</v>
      </c>
      <c r="H18" s="56">
        <f t="shared" si="1"/>
        <v>-10.238563466975085</v>
      </c>
      <c r="I18" s="10">
        <v>3</v>
      </c>
      <c r="J18" s="11">
        <v>1</v>
      </c>
      <c r="K18" s="8">
        <v>0</v>
      </c>
      <c r="L18" s="11">
        <f t="shared" si="2"/>
        <v>4</v>
      </c>
    </row>
    <row r="19" spans="1:12" ht="35.1" customHeight="1" thickTop="1" thickBot="1" x14ac:dyDescent="0.55000000000000004">
      <c r="A19" s="59" t="s">
        <v>27</v>
      </c>
      <c r="B19" s="65">
        <v>0.97</v>
      </c>
      <c r="C19" s="65">
        <v>0.8</v>
      </c>
      <c r="D19" s="65">
        <v>0.55000000000000004</v>
      </c>
      <c r="E19" s="60">
        <v>-220895.09</v>
      </c>
      <c r="F19" s="64">
        <v>-674071.05</v>
      </c>
      <c r="G19" s="6">
        <f t="shared" si="0"/>
        <v>-674071.05</v>
      </c>
      <c r="H19" s="9">
        <f t="shared" si="1"/>
        <v>0.32770297730484044</v>
      </c>
      <c r="I19" s="10">
        <v>3</v>
      </c>
      <c r="J19" s="11">
        <v>2</v>
      </c>
      <c r="K19" s="11">
        <v>2</v>
      </c>
      <c r="L19" s="11">
        <f t="shared" si="2"/>
        <v>7</v>
      </c>
    </row>
    <row r="20" spans="1:12" ht="9" customHeight="1" x14ac:dyDescent="0.35">
      <c r="B20" s="12"/>
      <c r="C20" s="12"/>
      <c r="D20" s="12"/>
      <c r="E20" s="12"/>
      <c r="F20" s="12"/>
      <c r="H20" s="13"/>
    </row>
    <row r="21" spans="1:12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</row>
    <row r="22" spans="1:12" ht="26.25" x14ac:dyDescent="0.55000000000000004">
      <c r="A22" s="22" t="s">
        <v>29</v>
      </c>
      <c r="B22" s="16"/>
      <c r="C22" s="16"/>
      <c r="D22" s="16"/>
      <c r="E22" s="16"/>
      <c r="F22" s="16"/>
      <c r="G22" s="23" t="s">
        <v>30</v>
      </c>
      <c r="H22" s="643" t="s">
        <v>31</v>
      </c>
      <c r="I22" s="643"/>
      <c r="J22" s="24" t="s">
        <v>32</v>
      </c>
      <c r="K22" s="25"/>
      <c r="L22" s="26"/>
    </row>
    <row r="23" spans="1:12" ht="26.25" x14ac:dyDescent="0.55000000000000004">
      <c r="A23" s="22"/>
      <c r="B23" s="16"/>
      <c r="C23" s="16"/>
      <c r="D23" s="16"/>
      <c r="E23" s="16"/>
      <c r="F23" s="16"/>
      <c r="G23" s="27" t="s">
        <v>33</v>
      </c>
      <c r="H23" s="643"/>
      <c r="I23" s="643"/>
      <c r="J23" s="24" t="s">
        <v>34</v>
      </c>
      <c r="K23" s="25"/>
      <c r="L23" s="26"/>
    </row>
    <row r="24" spans="1:12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36</v>
      </c>
      <c r="H24" s="643" t="s">
        <v>31</v>
      </c>
      <c r="I24" s="643"/>
      <c r="J24" s="644" t="s">
        <v>37</v>
      </c>
      <c r="K24" s="645"/>
      <c r="L24" s="645"/>
    </row>
    <row r="25" spans="1:12" ht="26.25" x14ac:dyDescent="0.55000000000000004">
      <c r="A25" s="22"/>
      <c r="B25" s="16"/>
      <c r="C25" s="16"/>
      <c r="D25" s="16"/>
      <c r="E25" s="16"/>
      <c r="F25" s="16"/>
      <c r="G25" s="27" t="s">
        <v>33</v>
      </c>
      <c r="H25" s="643"/>
      <c r="I25" s="643"/>
      <c r="J25" s="24" t="s">
        <v>34</v>
      </c>
      <c r="K25" s="30"/>
      <c r="L25" s="31"/>
    </row>
    <row r="26" spans="1:12" ht="26.25" x14ac:dyDescent="0.55000000000000004">
      <c r="A26" s="22" t="s">
        <v>38</v>
      </c>
      <c r="B26" s="16"/>
      <c r="C26" s="16"/>
      <c r="D26" s="16"/>
      <c r="E26" s="16"/>
      <c r="F26" s="27" t="s">
        <v>39</v>
      </c>
      <c r="G26" s="646" t="s">
        <v>31</v>
      </c>
      <c r="H26" s="646"/>
      <c r="I26" s="32" t="s">
        <v>40</v>
      </c>
      <c r="J26" s="33"/>
      <c r="K26" s="34"/>
      <c r="L26" s="34"/>
    </row>
    <row r="27" spans="1:12" ht="26.25" x14ac:dyDescent="0.55000000000000004">
      <c r="A27" s="35" t="s">
        <v>41</v>
      </c>
      <c r="B27" s="16"/>
      <c r="C27" s="16"/>
      <c r="D27" s="16"/>
      <c r="E27" s="16"/>
      <c r="F27" s="36" t="s">
        <v>42</v>
      </c>
      <c r="G27" s="37"/>
      <c r="H27" s="38"/>
      <c r="I27" s="32" t="s">
        <v>43</v>
      </c>
      <c r="J27" s="33"/>
      <c r="K27" s="31"/>
      <c r="L27" s="31"/>
    </row>
    <row r="28" spans="1:12" ht="11.25" customHeight="1" x14ac:dyDescent="0.55000000000000004">
      <c r="F28" s="16"/>
      <c r="G28" s="39"/>
      <c r="H28" s="40"/>
      <c r="I28" s="39"/>
      <c r="J28" s="39"/>
      <c r="K28" s="41"/>
      <c r="L28" s="41"/>
    </row>
    <row r="29" spans="1:12" ht="23.25" customHeight="1" x14ac:dyDescent="0.55000000000000004">
      <c r="A29" s="39"/>
      <c r="B29" s="16"/>
      <c r="C29" s="16"/>
      <c r="D29" s="16"/>
      <c r="E29" s="16"/>
      <c r="F29" s="16"/>
      <c r="G29" s="23" t="s">
        <v>44</v>
      </c>
      <c r="H29" s="643" t="s">
        <v>31</v>
      </c>
      <c r="I29" s="643"/>
      <c r="J29" s="24" t="s">
        <v>32</v>
      </c>
      <c r="K29" s="25"/>
      <c r="L29" s="26"/>
    </row>
    <row r="30" spans="1:12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43"/>
      <c r="I30" s="643"/>
      <c r="J30" s="24" t="s">
        <v>34</v>
      </c>
      <c r="K30" s="25"/>
      <c r="L30" s="26"/>
    </row>
    <row r="31" spans="1:12" ht="26.25" x14ac:dyDescent="0.55000000000000004">
      <c r="A31" s="42" t="s">
        <v>45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2" ht="26.25" x14ac:dyDescent="0.55000000000000004">
      <c r="A32" s="22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 x14ac:dyDescent="0.55000000000000004">
      <c r="A33" s="42" t="s">
        <v>47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 x14ac:dyDescent="0.55000000000000004">
      <c r="A34" s="42" t="s">
        <v>48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 x14ac:dyDescent="0.55000000000000004">
      <c r="A35" s="42" t="s">
        <v>49</v>
      </c>
      <c r="B35" s="16"/>
      <c r="C35" s="22"/>
      <c r="D35" s="44"/>
      <c r="E35" s="44"/>
      <c r="F35" s="44"/>
      <c r="G35" s="45"/>
      <c r="H35" s="40"/>
      <c r="I35" s="39"/>
      <c r="J35" s="39"/>
      <c r="K35" s="41"/>
      <c r="L35" s="41"/>
    </row>
    <row r="36" spans="1:12" ht="26.25" x14ac:dyDescent="0.55000000000000004">
      <c r="A36" s="39"/>
      <c r="B36" s="16"/>
      <c r="C36" s="22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 x14ac:dyDescent="0.55000000000000004">
      <c r="A37" s="39"/>
      <c r="B37" s="16"/>
      <c r="C37" s="22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 x14ac:dyDescent="0.55000000000000004">
      <c r="A38" s="39"/>
      <c r="B38" s="16"/>
      <c r="C38" s="22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 x14ac:dyDescent="0.55000000000000004">
      <c r="A40" s="42" t="s">
        <v>54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 x14ac:dyDescent="0.55000000000000004">
      <c r="A41" s="663" t="s">
        <v>55</v>
      </c>
      <c r="B41" s="663"/>
      <c r="C41" s="663"/>
      <c r="D41" s="16"/>
      <c r="E41" s="16"/>
      <c r="F41" s="16"/>
      <c r="G41" s="16"/>
      <c r="H41" s="46"/>
      <c r="I41" s="39"/>
      <c r="J41" s="39"/>
      <c r="K41" s="39"/>
      <c r="L41" s="39"/>
    </row>
    <row r="45" spans="1:12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 x14ac:dyDescent="0.2">
      <c r="I48" s="55"/>
      <c r="J48" s="55"/>
      <c r="K48" s="55"/>
      <c r="L48" s="55"/>
    </row>
  </sheetData>
  <mergeCells count="17">
    <mergeCell ref="A41:C41"/>
    <mergeCell ref="H22:I23"/>
    <mergeCell ref="H24:I25"/>
    <mergeCell ref="J24:L24"/>
    <mergeCell ref="G26:H26"/>
    <mergeCell ref="H29:I30"/>
    <mergeCell ref="F2:F3"/>
    <mergeCell ref="A2:A3"/>
    <mergeCell ref="B2:B3"/>
    <mergeCell ref="C2:C3"/>
    <mergeCell ref="L2:L3"/>
    <mergeCell ref="D2:D3"/>
    <mergeCell ref="G2:G3"/>
    <mergeCell ref="I2:I3"/>
    <mergeCell ref="J2:J3"/>
    <mergeCell ref="K2:K3"/>
    <mergeCell ref="E2:E3"/>
  </mergeCells>
  <pageMargins left="0.11811023622047245" right="0" top="0" bottom="0" header="0" footer="0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60" zoomScaleNormal="60" workbookViewId="0">
      <selection activeCell="C46" sqref="C46"/>
    </sheetView>
  </sheetViews>
  <sheetFormatPr defaultRowHeight="14.25" x14ac:dyDescent="0.2"/>
  <cols>
    <col min="1" max="1" width="23.375" customWidth="1"/>
    <col min="2" max="4" width="13.625" customWidth="1"/>
    <col min="5" max="5" width="27.875" customWidth="1"/>
    <col min="6" max="6" width="30.375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2.375" customWidth="1"/>
    <col min="14" max="14" width="19.375" customWidth="1"/>
  </cols>
  <sheetData>
    <row r="1" spans="1:13" ht="41.25" customHeight="1" thickBot="1" x14ac:dyDescent="0.45">
      <c r="A1" s="1" t="s">
        <v>56</v>
      </c>
      <c r="E1" s="2"/>
      <c r="H1" s="3" t="s">
        <v>0</v>
      </c>
    </row>
    <row r="2" spans="1:13" ht="41.25" customHeight="1" x14ac:dyDescent="0.2">
      <c r="A2" s="638" t="s">
        <v>1</v>
      </c>
      <c r="B2" s="638" t="s">
        <v>2</v>
      </c>
      <c r="C2" s="638" t="s">
        <v>3</v>
      </c>
      <c r="D2" s="638" t="s">
        <v>4</v>
      </c>
      <c r="E2" s="641" t="s">
        <v>5</v>
      </c>
      <c r="F2" s="638" t="s">
        <v>6</v>
      </c>
      <c r="G2" s="679" t="s">
        <v>7</v>
      </c>
      <c r="H2" s="58" t="s">
        <v>8</v>
      </c>
      <c r="I2" s="649" t="s">
        <v>9</v>
      </c>
      <c r="J2" s="649" t="s">
        <v>10</v>
      </c>
      <c r="K2" s="649" t="s">
        <v>11</v>
      </c>
      <c r="L2" s="651" t="s">
        <v>58</v>
      </c>
      <c r="M2" s="651" t="s">
        <v>59</v>
      </c>
    </row>
    <row r="3" spans="1:13" ht="74.25" customHeight="1" thickBot="1" x14ac:dyDescent="0.25">
      <c r="A3" s="639"/>
      <c r="B3" s="639"/>
      <c r="C3" s="639"/>
      <c r="D3" s="639"/>
      <c r="E3" s="642"/>
      <c r="F3" s="639"/>
      <c r="G3" s="680"/>
      <c r="H3" s="5"/>
      <c r="I3" s="650"/>
      <c r="J3" s="650"/>
      <c r="K3" s="650"/>
      <c r="L3" s="662"/>
      <c r="M3" s="662"/>
    </row>
    <row r="4" spans="1:13" ht="35.1" customHeight="1" thickTop="1" thickBot="1" x14ac:dyDescent="0.55000000000000004">
      <c r="A4" s="59" t="s">
        <v>12</v>
      </c>
      <c r="B4" s="73">
        <v>4.12</v>
      </c>
      <c r="C4" s="73">
        <v>3.96</v>
      </c>
      <c r="D4" s="73">
        <v>2.89</v>
      </c>
      <c r="E4" s="71">
        <v>566385923.28999996</v>
      </c>
      <c r="F4" s="72">
        <v>46874825.979999997</v>
      </c>
      <c r="G4" s="6">
        <f>SUM(F4/2)</f>
        <v>23437412.989999998</v>
      </c>
      <c r="H4" s="9"/>
      <c r="I4" s="7">
        <v>0</v>
      </c>
      <c r="J4" s="8">
        <v>0</v>
      </c>
      <c r="K4" s="8">
        <v>0</v>
      </c>
      <c r="L4" s="8">
        <f>SUM(I4:K4)</f>
        <v>0</v>
      </c>
      <c r="M4" s="11">
        <v>0</v>
      </c>
    </row>
    <row r="5" spans="1:13" ht="35.1" customHeight="1" thickTop="1" thickBot="1" x14ac:dyDescent="0.55000000000000004">
      <c r="A5" s="59" t="s">
        <v>13</v>
      </c>
      <c r="B5" s="73">
        <v>1.72</v>
      </c>
      <c r="C5" s="73">
        <v>1.41</v>
      </c>
      <c r="D5" s="73">
        <v>0.82</v>
      </c>
      <c r="E5" s="71">
        <v>58079099.390000001</v>
      </c>
      <c r="F5" s="70">
        <v>-12459900.470000001</v>
      </c>
      <c r="G5" s="6">
        <f t="shared" ref="G5:G19" si="0">SUM(F5/2)</f>
        <v>-6229950.2350000003</v>
      </c>
      <c r="H5" s="68">
        <f>SUM(E5/G5)</f>
        <v>-9.3225623318321738</v>
      </c>
      <c r="I5" s="7">
        <v>0</v>
      </c>
      <c r="J5" s="11">
        <v>1</v>
      </c>
      <c r="K5" s="8">
        <v>0</v>
      </c>
      <c r="L5" s="11">
        <f t="shared" ref="L5:L19" si="1">SUM(I5:K5)</f>
        <v>1</v>
      </c>
      <c r="M5" s="11">
        <v>1</v>
      </c>
    </row>
    <row r="6" spans="1:13" ht="35.1" customHeight="1" thickTop="1" thickBot="1" x14ac:dyDescent="0.55000000000000004">
      <c r="A6" s="59" t="s">
        <v>14</v>
      </c>
      <c r="B6" s="74">
        <v>1.1399999999999999</v>
      </c>
      <c r="C6" s="73">
        <v>1.04</v>
      </c>
      <c r="D6" s="74">
        <v>0.8</v>
      </c>
      <c r="E6" s="71">
        <v>3048347.39</v>
      </c>
      <c r="F6" s="70">
        <v>-2250535.62</v>
      </c>
      <c r="G6" s="6">
        <f t="shared" si="0"/>
        <v>-1125267.81</v>
      </c>
      <c r="H6" s="68">
        <f t="shared" ref="H6:H19" si="2">SUM(E6/G6)</f>
        <v>-2.7089972386217998</v>
      </c>
      <c r="I6" s="10">
        <v>2</v>
      </c>
      <c r="J6" s="11">
        <v>1</v>
      </c>
      <c r="K6" s="11">
        <v>2</v>
      </c>
      <c r="L6" s="11">
        <f t="shared" si="1"/>
        <v>5</v>
      </c>
      <c r="M6" s="11">
        <v>6</v>
      </c>
    </row>
    <row r="7" spans="1:13" ht="35.1" customHeight="1" thickTop="1" thickBot="1" x14ac:dyDescent="0.55000000000000004">
      <c r="A7" s="59" t="s">
        <v>15</v>
      </c>
      <c r="B7" s="73">
        <v>1.72</v>
      </c>
      <c r="C7" s="73">
        <v>1.57</v>
      </c>
      <c r="D7" s="73">
        <v>1.28</v>
      </c>
      <c r="E7" s="71">
        <v>10875414.810000001</v>
      </c>
      <c r="F7" s="70">
        <v>-2679089.14</v>
      </c>
      <c r="G7" s="6">
        <f t="shared" si="0"/>
        <v>-1339544.57</v>
      </c>
      <c r="H7" s="68">
        <f t="shared" si="2"/>
        <v>-8.1187405432877835</v>
      </c>
      <c r="I7" s="7">
        <v>0</v>
      </c>
      <c r="J7" s="11">
        <v>1</v>
      </c>
      <c r="K7" s="8">
        <v>0</v>
      </c>
      <c r="L7" s="11">
        <f t="shared" si="1"/>
        <v>1</v>
      </c>
      <c r="M7" s="11">
        <v>1</v>
      </c>
    </row>
    <row r="8" spans="1:13" ht="35.1" customHeight="1" thickTop="1" thickBot="1" x14ac:dyDescent="0.55000000000000004">
      <c r="A8" s="59" t="s">
        <v>16</v>
      </c>
      <c r="B8" s="73">
        <v>2.9</v>
      </c>
      <c r="C8" s="73">
        <v>2.58</v>
      </c>
      <c r="D8" s="73">
        <v>1.94</v>
      </c>
      <c r="E8" s="71">
        <v>17248934.34</v>
      </c>
      <c r="F8" s="70">
        <v>-350698.15</v>
      </c>
      <c r="G8" s="6">
        <f t="shared" si="0"/>
        <v>-175349.07500000001</v>
      </c>
      <c r="H8" s="68">
        <f t="shared" si="2"/>
        <v>-98.369120795190952</v>
      </c>
      <c r="I8" s="7">
        <v>0</v>
      </c>
      <c r="J8" s="11">
        <v>1</v>
      </c>
      <c r="K8" s="8">
        <v>0</v>
      </c>
      <c r="L8" s="11">
        <f t="shared" si="1"/>
        <v>1</v>
      </c>
      <c r="M8" s="11">
        <v>1</v>
      </c>
    </row>
    <row r="9" spans="1:13" ht="35.1" customHeight="1" thickTop="1" thickBot="1" x14ac:dyDescent="0.55000000000000004">
      <c r="A9" s="59" t="s">
        <v>17</v>
      </c>
      <c r="B9" s="74">
        <v>1.1499999999999999</v>
      </c>
      <c r="C9" s="74">
        <v>0.98</v>
      </c>
      <c r="D9" s="73">
        <v>0.82</v>
      </c>
      <c r="E9" s="71">
        <v>2300060.59</v>
      </c>
      <c r="F9" s="72">
        <v>2357512.81</v>
      </c>
      <c r="G9" s="6">
        <f t="shared" si="0"/>
        <v>1178756.405</v>
      </c>
      <c r="H9" s="68">
        <f t="shared" si="2"/>
        <v>1.9512603114975224</v>
      </c>
      <c r="I9" s="10">
        <v>2</v>
      </c>
      <c r="J9" s="11">
        <v>0</v>
      </c>
      <c r="K9" s="8">
        <v>0</v>
      </c>
      <c r="L9" s="11">
        <f t="shared" si="1"/>
        <v>2</v>
      </c>
      <c r="M9" s="11">
        <v>7</v>
      </c>
    </row>
    <row r="10" spans="1:13" ht="35.1" customHeight="1" thickTop="1" thickBot="1" x14ac:dyDescent="0.55000000000000004">
      <c r="A10" s="59" t="s">
        <v>18</v>
      </c>
      <c r="B10" s="73">
        <v>5.15</v>
      </c>
      <c r="C10" s="73">
        <v>4.7</v>
      </c>
      <c r="D10" s="73">
        <v>4.08</v>
      </c>
      <c r="E10" s="71">
        <v>78236945.329999998</v>
      </c>
      <c r="F10" s="72">
        <v>716651.67</v>
      </c>
      <c r="G10" s="6">
        <f t="shared" si="0"/>
        <v>358325.83500000002</v>
      </c>
      <c r="H10" s="68">
        <f t="shared" si="2"/>
        <v>218.34023028230715</v>
      </c>
      <c r="I10" s="7">
        <v>0</v>
      </c>
      <c r="J10" s="8">
        <v>0</v>
      </c>
      <c r="K10" s="8">
        <v>0</v>
      </c>
      <c r="L10" s="8">
        <f t="shared" si="1"/>
        <v>0</v>
      </c>
      <c r="M10" s="11">
        <v>0</v>
      </c>
    </row>
    <row r="11" spans="1:13" ht="35.1" customHeight="1" thickTop="1" thickBot="1" x14ac:dyDescent="0.55000000000000004">
      <c r="A11" s="59" t="s">
        <v>19</v>
      </c>
      <c r="B11" s="74">
        <v>0.78</v>
      </c>
      <c r="C11" s="74">
        <v>0.56000000000000005</v>
      </c>
      <c r="D11" s="74">
        <v>0.33</v>
      </c>
      <c r="E11" s="69">
        <v>-4538225.9400000004</v>
      </c>
      <c r="F11" s="70">
        <v>-533109.43000000005</v>
      </c>
      <c r="G11" s="6">
        <f t="shared" si="0"/>
        <v>-266554.71500000003</v>
      </c>
      <c r="H11" s="68">
        <f t="shared" si="2"/>
        <v>17.025494896985784</v>
      </c>
      <c r="I11" s="10">
        <v>3</v>
      </c>
      <c r="J11" s="11">
        <v>2</v>
      </c>
      <c r="K11" s="11">
        <v>2</v>
      </c>
      <c r="L11" s="11">
        <f t="shared" si="1"/>
        <v>7</v>
      </c>
      <c r="M11" s="11">
        <v>4</v>
      </c>
    </row>
    <row r="12" spans="1:13" ht="35.1" customHeight="1" thickTop="1" thickBot="1" x14ac:dyDescent="0.55000000000000004">
      <c r="A12" s="59" t="s">
        <v>20</v>
      </c>
      <c r="B12" s="74">
        <v>1.28</v>
      </c>
      <c r="C12" s="73">
        <v>1.1100000000000001</v>
      </c>
      <c r="D12" s="73">
        <v>0.87</v>
      </c>
      <c r="E12" s="71">
        <v>4054943.77</v>
      </c>
      <c r="F12" s="72">
        <v>918225.83</v>
      </c>
      <c r="G12" s="6">
        <f t="shared" si="0"/>
        <v>459112.91499999998</v>
      </c>
      <c r="H12" s="68">
        <f t="shared" si="2"/>
        <v>8.8321274299155803</v>
      </c>
      <c r="I12" s="10">
        <v>1</v>
      </c>
      <c r="J12" s="8">
        <v>0</v>
      </c>
      <c r="K12" s="8">
        <v>0</v>
      </c>
      <c r="L12" s="11">
        <f t="shared" si="1"/>
        <v>1</v>
      </c>
      <c r="M12" s="11">
        <v>1</v>
      </c>
    </row>
    <row r="13" spans="1:13" ht="35.1" customHeight="1" thickTop="1" thickBot="1" x14ac:dyDescent="0.55000000000000004">
      <c r="A13" s="59" t="s">
        <v>21</v>
      </c>
      <c r="B13" s="73">
        <v>1.88</v>
      </c>
      <c r="C13" s="73">
        <v>1.63</v>
      </c>
      <c r="D13" s="73">
        <v>1.17</v>
      </c>
      <c r="E13" s="71">
        <v>8840365.7799999993</v>
      </c>
      <c r="F13" s="70">
        <v>-439587.47</v>
      </c>
      <c r="G13" s="6">
        <f t="shared" si="0"/>
        <v>-219793.73499999999</v>
      </c>
      <c r="H13" s="68">
        <f t="shared" si="2"/>
        <v>-40.221190927029838</v>
      </c>
      <c r="I13" s="7">
        <v>0</v>
      </c>
      <c r="J13" s="11">
        <v>1</v>
      </c>
      <c r="K13" s="8">
        <v>0</v>
      </c>
      <c r="L13" s="11">
        <f t="shared" si="1"/>
        <v>1</v>
      </c>
      <c r="M13" s="11">
        <v>1</v>
      </c>
    </row>
    <row r="14" spans="1:13" ht="35.1" customHeight="1" thickTop="1" thickBot="1" x14ac:dyDescent="0.55000000000000004">
      <c r="A14" s="59" t="s">
        <v>22</v>
      </c>
      <c r="B14" s="75">
        <v>0.78</v>
      </c>
      <c r="C14" s="75">
        <v>0.57999999999999996</v>
      </c>
      <c r="D14" s="75">
        <v>0.35</v>
      </c>
      <c r="E14" s="69">
        <v>-3414111.1</v>
      </c>
      <c r="F14" s="70">
        <v>-1550266.65</v>
      </c>
      <c r="G14" s="6">
        <f t="shared" si="0"/>
        <v>-775133.32499999995</v>
      </c>
      <c r="H14" s="68">
        <f t="shared" si="2"/>
        <v>4.404546921008718</v>
      </c>
      <c r="I14" s="10">
        <v>3</v>
      </c>
      <c r="J14" s="11">
        <v>2</v>
      </c>
      <c r="K14" s="11">
        <v>2</v>
      </c>
      <c r="L14" s="11">
        <f t="shared" si="1"/>
        <v>7</v>
      </c>
      <c r="M14" s="11">
        <v>7</v>
      </c>
    </row>
    <row r="15" spans="1:13" ht="35.1" customHeight="1" thickTop="1" thickBot="1" x14ac:dyDescent="0.55000000000000004">
      <c r="A15" s="59" t="s">
        <v>23</v>
      </c>
      <c r="B15" s="73">
        <v>4.76</v>
      </c>
      <c r="C15" s="73">
        <v>4.5999999999999996</v>
      </c>
      <c r="D15" s="73">
        <v>4.4000000000000004</v>
      </c>
      <c r="E15" s="71">
        <v>119590271.34999999</v>
      </c>
      <c r="F15" s="70">
        <v>-3298764.98</v>
      </c>
      <c r="G15" s="6">
        <f t="shared" si="0"/>
        <v>-1649382.49</v>
      </c>
      <c r="H15" s="68">
        <f t="shared" si="2"/>
        <v>-72.50608762676994</v>
      </c>
      <c r="I15" s="7">
        <v>0</v>
      </c>
      <c r="J15" s="11">
        <v>1</v>
      </c>
      <c r="K15" s="8">
        <v>0</v>
      </c>
      <c r="L15" s="11">
        <f t="shared" si="1"/>
        <v>1</v>
      </c>
      <c r="M15" s="11">
        <v>1</v>
      </c>
    </row>
    <row r="16" spans="1:13" ht="35.1" customHeight="1" thickTop="1" thickBot="1" x14ac:dyDescent="0.55000000000000004">
      <c r="A16" s="59" t="s">
        <v>24</v>
      </c>
      <c r="B16" s="73">
        <v>2.9</v>
      </c>
      <c r="C16" s="73">
        <v>2.62</v>
      </c>
      <c r="D16" s="73">
        <v>2.34</v>
      </c>
      <c r="E16" s="71">
        <v>9042234.0800000001</v>
      </c>
      <c r="F16" s="72">
        <v>853629.43999999994</v>
      </c>
      <c r="G16" s="6">
        <f t="shared" si="0"/>
        <v>426814.71999999997</v>
      </c>
      <c r="H16" s="68">
        <f t="shared" si="2"/>
        <v>21.185384796475624</v>
      </c>
      <c r="I16" s="7">
        <v>0</v>
      </c>
      <c r="J16" s="11">
        <v>0</v>
      </c>
      <c r="K16" s="8">
        <v>0</v>
      </c>
      <c r="L16" s="8">
        <f t="shared" si="1"/>
        <v>0</v>
      </c>
      <c r="M16" s="11">
        <v>1</v>
      </c>
    </row>
    <row r="17" spans="1:13" ht="35.1" customHeight="1" thickTop="1" thickBot="1" x14ac:dyDescent="0.55000000000000004">
      <c r="A17" s="59" t="s">
        <v>25</v>
      </c>
      <c r="B17" s="74">
        <v>1.23</v>
      </c>
      <c r="C17" s="73">
        <v>1.07</v>
      </c>
      <c r="D17" s="74">
        <v>0.52</v>
      </c>
      <c r="E17" s="71">
        <v>3430485.57</v>
      </c>
      <c r="F17" s="70">
        <v>-1627560.77</v>
      </c>
      <c r="G17" s="6">
        <f t="shared" si="0"/>
        <v>-813780.38500000001</v>
      </c>
      <c r="H17" s="68">
        <f t="shared" si="2"/>
        <v>-4.2154930657366485</v>
      </c>
      <c r="I17" s="10">
        <v>2</v>
      </c>
      <c r="J17" s="11">
        <v>1</v>
      </c>
      <c r="K17" s="11">
        <v>1</v>
      </c>
      <c r="L17" s="11">
        <f t="shared" si="1"/>
        <v>4</v>
      </c>
      <c r="M17" s="11">
        <v>5</v>
      </c>
    </row>
    <row r="18" spans="1:13" ht="35.1" customHeight="1" thickTop="1" thickBot="1" x14ac:dyDescent="0.55000000000000004">
      <c r="A18" s="59" t="s">
        <v>26</v>
      </c>
      <c r="B18" s="74">
        <v>0.84</v>
      </c>
      <c r="C18" s="74">
        <v>0.69</v>
      </c>
      <c r="D18" s="74">
        <v>0.54</v>
      </c>
      <c r="E18" s="69">
        <v>-2249672.14</v>
      </c>
      <c r="F18" s="72">
        <v>2172869.6</v>
      </c>
      <c r="G18" s="6">
        <f t="shared" si="0"/>
        <v>1086434.8</v>
      </c>
      <c r="H18" s="68">
        <f t="shared" si="2"/>
        <v>-2.0706922679575435</v>
      </c>
      <c r="I18" s="10">
        <v>3</v>
      </c>
      <c r="J18" s="11">
        <v>1</v>
      </c>
      <c r="K18" s="8">
        <v>0</v>
      </c>
      <c r="L18" s="11">
        <f t="shared" si="1"/>
        <v>4</v>
      </c>
      <c r="M18" s="11">
        <v>4</v>
      </c>
    </row>
    <row r="19" spans="1:13" ht="35.1" customHeight="1" thickTop="1" thickBot="1" x14ac:dyDescent="0.55000000000000004">
      <c r="A19" s="59" t="s">
        <v>27</v>
      </c>
      <c r="B19" s="73">
        <v>1.53</v>
      </c>
      <c r="C19" s="73">
        <v>1.35</v>
      </c>
      <c r="D19" s="73">
        <v>1.05</v>
      </c>
      <c r="E19" s="71">
        <v>3698035.65</v>
      </c>
      <c r="F19" s="76">
        <v>3185846.26</v>
      </c>
      <c r="G19" s="6">
        <f t="shared" si="0"/>
        <v>1592923.13</v>
      </c>
      <c r="H19" s="68">
        <f t="shared" si="2"/>
        <v>2.3215405566996821</v>
      </c>
      <c r="I19" s="10">
        <v>0</v>
      </c>
      <c r="J19" s="11">
        <v>0</v>
      </c>
      <c r="K19" s="11">
        <v>0</v>
      </c>
      <c r="L19" s="8">
        <f t="shared" si="1"/>
        <v>0</v>
      </c>
      <c r="M19" s="11">
        <v>7</v>
      </c>
    </row>
    <row r="20" spans="1:13" ht="9" customHeight="1" x14ac:dyDescent="0.35">
      <c r="B20" s="12"/>
      <c r="C20" s="12"/>
      <c r="D20" s="12"/>
      <c r="E20" s="12"/>
      <c r="F20" s="12"/>
      <c r="H20" s="13"/>
    </row>
    <row r="21" spans="1:13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</row>
    <row r="22" spans="1:13" ht="26.25" x14ac:dyDescent="0.55000000000000004">
      <c r="A22" s="57" t="s">
        <v>29</v>
      </c>
      <c r="B22" s="16"/>
      <c r="C22" s="16"/>
      <c r="D22" s="16"/>
      <c r="E22" s="16"/>
      <c r="F22" s="16"/>
      <c r="G22" s="23" t="s">
        <v>30</v>
      </c>
      <c r="H22" s="643" t="s">
        <v>31</v>
      </c>
      <c r="I22" s="643"/>
      <c r="J22" s="24" t="s">
        <v>32</v>
      </c>
      <c r="K22" s="25"/>
      <c r="L22" s="26"/>
    </row>
    <row r="23" spans="1:13" ht="26.25" x14ac:dyDescent="0.55000000000000004">
      <c r="A23" s="57"/>
      <c r="B23" s="16"/>
      <c r="C23" s="16"/>
      <c r="D23" s="16"/>
      <c r="E23" s="16"/>
      <c r="F23" s="16"/>
      <c r="G23" s="27" t="s">
        <v>33</v>
      </c>
      <c r="H23" s="643"/>
      <c r="I23" s="643"/>
      <c r="J23" s="24" t="s">
        <v>34</v>
      </c>
      <c r="K23" s="25"/>
      <c r="L23" s="26"/>
    </row>
    <row r="24" spans="1:13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36</v>
      </c>
      <c r="H24" s="643" t="s">
        <v>31</v>
      </c>
      <c r="I24" s="643"/>
      <c r="J24" s="644" t="s">
        <v>37</v>
      </c>
      <c r="K24" s="645"/>
      <c r="L24" s="645"/>
    </row>
    <row r="25" spans="1:13" ht="26.25" x14ac:dyDescent="0.55000000000000004">
      <c r="A25" s="57"/>
      <c r="B25" s="16"/>
      <c r="C25" s="16"/>
      <c r="D25" s="16"/>
      <c r="E25" s="16"/>
      <c r="F25" s="16"/>
      <c r="G25" s="27" t="s">
        <v>33</v>
      </c>
      <c r="H25" s="643"/>
      <c r="I25" s="643"/>
      <c r="J25" s="24" t="s">
        <v>34</v>
      </c>
      <c r="K25" s="30"/>
      <c r="L25" s="31"/>
    </row>
    <row r="26" spans="1:13" ht="26.25" x14ac:dyDescent="0.55000000000000004">
      <c r="A26" s="57" t="s">
        <v>38</v>
      </c>
      <c r="B26" s="16"/>
      <c r="C26" s="16"/>
      <c r="D26" s="16"/>
      <c r="E26" s="16"/>
      <c r="F26" s="27" t="s">
        <v>39</v>
      </c>
      <c r="G26" s="646" t="s">
        <v>31</v>
      </c>
      <c r="H26" s="646"/>
      <c r="I26" s="32" t="s">
        <v>40</v>
      </c>
      <c r="J26" s="33"/>
      <c r="K26" s="34"/>
      <c r="L26" s="34"/>
    </row>
    <row r="27" spans="1:13" ht="26.25" x14ac:dyDescent="0.55000000000000004">
      <c r="A27" s="35" t="s">
        <v>41</v>
      </c>
      <c r="B27" s="16"/>
      <c r="C27" s="16"/>
      <c r="D27" s="16"/>
      <c r="E27" s="16"/>
      <c r="F27" s="36" t="s">
        <v>42</v>
      </c>
      <c r="G27" s="37"/>
      <c r="H27" s="38"/>
      <c r="I27" s="32" t="s">
        <v>43</v>
      </c>
      <c r="J27" s="33"/>
      <c r="K27" s="31"/>
      <c r="L27" s="31"/>
    </row>
    <row r="28" spans="1:13" ht="11.25" customHeight="1" x14ac:dyDescent="0.55000000000000004">
      <c r="F28" s="16"/>
      <c r="G28" s="39"/>
      <c r="H28" s="40"/>
      <c r="I28" s="39"/>
      <c r="J28" s="39"/>
      <c r="K28" s="41"/>
      <c r="L28" s="41"/>
    </row>
    <row r="29" spans="1:13" ht="23.25" customHeight="1" x14ac:dyDescent="0.55000000000000004">
      <c r="A29" s="39"/>
      <c r="B29" s="16"/>
      <c r="C29" s="16"/>
      <c r="D29" s="16"/>
      <c r="E29" s="16"/>
      <c r="F29" s="16"/>
      <c r="G29" s="23" t="s">
        <v>44</v>
      </c>
      <c r="H29" s="643" t="s">
        <v>31</v>
      </c>
      <c r="I29" s="643"/>
      <c r="J29" s="24" t="s">
        <v>32</v>
      </c>
      <c r="K29" s="25"/>
      <c r="L29" s="26"/>
    </row>
    <row r="30" spans="1:13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43"/>
      <c r="I30" s="643"/>
      <c r="J30" s="24" t="s">
        <v>34</v>
      </c>
      <c r="K30" s="25"/>
      <c r="L30" s="26"/>
    </row>
    <row r="31" spans="1:13" ht="26.25" x14ac:dyDescent="0.55000000000000004">
      <c r="A31" s="42" t="s">
        <v>45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3" ht="26.25" x14ac:dyDescent="0.55000000000000004">
      <c r="A32" s="57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 x14ac:dyDescent="0.55000000000000004">
      <c r="A33" s="42" t="s">
        <v>47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 x14ac:dyDescent="0.55000000000000004">
      <c r="A34" s="42" t="s">
        <v>48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 x14ac:dyDescent="0.55000000000000004">
      <c r="A35" s="42" t="s">
        <v>49</v>
      </c>
      <c r="B35" s="16"/>
      <c r="C35" s="57"/>
      <c r="D35" s="44"/>
      <c r="E35" s="44"/>
      <c r="F35" s="44"/>
      <c r="G35" s="45"/>
      <c r="H35" s="40"/>
      <c r="I35" s="39"/>
      <c r="J35" s="39"/>
      <c r="K35" s="41"/>
      <c r="L35" s="41"/>
    </row>
    <row r="36" spans="1:12" ht="26.25" x14ac:dyDescent="0.55000000000000004">
      <c r="A36" s="39"/>
      <c r="B36" s="16"/>
      <c r="C36" s="57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 x14ac:dyDescent="0.55000000000000004">
      <c r="A37" s="39"/>
      <c r="B37" s="16"/>
      <c r="C37" s="57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 x14ac:dyDescent="0.55000000000000004">
      <c r="A38" s="39"/>
      <c r="B38" s="16"/>
      <c r="C38" s="57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 x14ac:dyDescent="0.55000000000000004">
      <c r="A40" s="42" t="s">
        <v>54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 x14ac:dyDescent="0.55000000000000004">
      <c r="A41" s="663" t="s">
        <v>55</v>
      </c>
      <c r="B41" s="663"/>
      <c r="C41" s="663"/>
      <c r="D41" s="16"/>
      <c r="E41" s="16"/>
      <c r="F41" s="16"/>
      <c r="G41" s="16"/>
      <c r="H41" s="46"/>
      <c r="I41" s="39"/>
      <c r="J41" s="39"/>
      <c r="K41" s="39"/>
      <c r="L41" s="39"/>
    </row>
    <row r="45" spans="1:12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 x14ac:dyDescent="0.2">
      <c r="I48" s="55"/>
      <c r="J48" s="55"/>
      <c r="K48" s="55"/>
      <c r="L48" s="55"/>
    </row>
  </sheetData>
  <mergeCells count="18">
    <mergeCell ref="H22:I23"/>
    <mergeCell ref="A2:A3"/>
    <mergeCell ref="B2:B3"/>
    <mergeCell ref="C2:C3"/>
    <mergeCell ref="D2:D3"/>
    <mergeCell ref="E2:E3"/>
    <mergeCell ref="F2:F3"/>
    <mergeCell ref="H24:I25"/>
    <mergeCell ref="J24:L24"/>
    <mergeCell ref="G26:H26"/>
    <mergeCell ref="H29:I30"/>
    <mergeCell ref="A41:C41"/>
    <mergeCell ref="M2:M3"/>
    <mergeCell ref="G2:G3"/>
    <mergeCell ref="I2:I3"/>
    <mergeCell ref="J2:J3"/>
    <mergeCell ref="K2:K3"/>
    <mergeCell ref="L2:L3"/>
  </mergeCells>
  <pageMargins left="0.11811023622047245" right="0" top="0" bottom="0" header="0" footer="0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" zoomScale="50" zoomScaleNormal="50" workbookViewId="0">
      <selection activeCell="H10" sqref="H10"/>
    </sheetView>
  </sheetViews>
  <sheetFormatPr defaultRowHeight="14.25" x14ac:dyDescent="0.2"/>
  <cols>
    <col min="1" max="1" width="23.375" customWidth="1"/>
    <col min="2" max="4" width="13.625" customWidth="1"/>
    <col min="5" max="5" width="24.5" customWidth="1"/>
    <col min="6" max="6" width="25.75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0.75" customWidth="1"/>
  </cols>
  <sheetData>
    <row r="1" spans="1:13" ht="41.25" customHeight="1" thickBot="1" x14ac:dyDescent="0.45">
      <c r="A1" s="1" t="s">
        <v>60</v>
      </c>
      <c r="E1" s="2"/>
      <c r="H1" s="3" t="s">
        <v>0</v>
      </c>
    </row>
    <row r="2" spans="1:13" ht="41.25" customHeight="1" x14ac:dyDescent="0.2">
      <c r="A2" s="638" t="s">
        <v>1</v>
      </c>
      <c r="B2" s="638" t="s">
        <v>2</v>
      </c>
      <c r="C2" s="638" t="s">
        <v>3</v>
      </c>
      <c r="D2" s="638" t="s">
        <v>4</v>
      </c>
      <c r="E2" s="641" t="s">
        <v>5</v>
      </c>
      <c r="F2" s="638" t="s">
        <v>6</v>
      </c>
      <c r="G2" s="679" t="s">
        <v>7</v>
      </c>
      <c r="H2" s="66" t="s">
        <v>8</v>
      </c>
      <c r="I2" s="649" t="s">
        <v>9</v>
      </c>
      <c r="J2" s="649" t="s">
        <v>10</v>
      </c>
      <c r="K2" s="649" t="s">
        <v>11</v>
      </c>
      <c r="L2" s="651" t="s">
        <v>61</v>
      </c>
      <c r="M2" s="651" t="s">
        <v>62</v>
      </c>
    </row>
    <row r="3" spans="1:13" ht="74.25" customHeight="1" thickBot="1" x14ac:dyDescent="0.25">
      <c r="A3" s="639"/>
      <c r="B3" s="639"/>
      <c r="C3" s="639"/>
      <c r="D3" s="639"/>
      <c r="E3" s="642"/>
      <c r="F3" s="639"/>
      <c r="G3" s="680"/>
      <c r="H3" s="5"/>
      <c r="I3" s="650"/>
      <c r="J3" s="650"/>
      <c r="K3" s="650"/>
      <c r="L3" s="662"/>
      <c r="M3" s="662"/>
    </row>
    <row r="4" spans="1:13" ht="35.1" customHeight="1" thickBot="1" x14ac:dyDescent="0.55000000000000004">
      <c r="A4" s="59" t="s">
        <v>12</v>
      </c>
      <c r="B4" s="77">
        <v>4.57</v>
      </c>
      <c r="C4" s="77">
        <v>4.3899999999999997</v>
      </c>
      <c r="D4" s="77">
        <v>3.15</v>
      </c>
      <c r="E4" s="77">
        <v>581409982.63</v>
      </c>
      <c r="F4" s="77">
        <v>68006398.430000007</v>
      </c>
      <c r="G4" s="78">
        <f>SUM(F4/3)</f>
        <v>22668799.47666667</v>
      </c>
      <c r="H4" s="79">
        <f>SUM(E4/G4)</f>
        <v>25.648027070355177</v>
      </c>
      <c r="I4" s="7">
        <v>0</v>
      </c>
      <c r="J4" s="8">
        <v>0</v>
      </c>
      <c r="K4" s="8">
        <v>0</v>
      </c>
      <c r="L4" s="8">
        <f>SUM(I4:K4)</f>
        <v>0</v>
      </c>
      <c r="M4" s="8">
        <v>0</v>
      </c>
    </row>
    <row r="5" spans="1:13" ht="35.1" customHeight="1" thickBot="1" x14ac:dyDescent="0.55000000000000004">
      <c r="A5" s="59" t="s">
        <v>13</v>
      </c>
      <c r="B5" s="77">
        <v>1.78</v>
      </c>
      <c r="C5" s="77">
        <v>1.45</v>
      </c>
      <c r="D5" s="80">
        <v>0.78</v>
      </c>
      <c r="E5" s="77">
        <v>57149687.530000001</v>
      </c>
      <c r="F5" s="80">
        <v>-7794946.6799999997</v>
      </c>
      <c r="G5" s="78">
        <f t="shared" ref="G5:G19" si="0">SUM(F5/3)</f>
        <v>-2598315.56</v>
      </c>
      <c r="H5" s="81">
        <v>21.99</v>
      </c>
      <c r="I5" s="10">
        <v>1</v>
      </c>
      <c r="J5" s="11">
        <v>1</v>
      </c>
      <c r="K5" s="8">
        <v>0</v>
      </c>
      <c r="L5" s="11">
        <f t="shared" ref="L5:L19" si="1">SUM(I5:K5)</f>
        <v>2</v>
      </c>
      <c r="M5" s="11">
        <v>1</v>
      </c>
    </row>
    <row r="6" spans="1:13" ht="35.1" customHeight="1" thickBot="1" x14ac:dyDescent="0.55000000000000004">
      <c r="A6" s="59" t="s">
        <v>14</v>
      </c>
      <c r="B6" s="80">
        <v>1.1399999999999999</v>
      </c>
      <c r="C6" s="77">
        <v>1.05</v>
      </c>
      <c r="D6" s="77">
        <v>0.81</v>
      </c>
      <c r="E6" s="77">
        <v>2991664.22</v>
      </c>
      <c r="F6" s="80">
        <v>-2055686.78</v>
      </c>
      <c r="G6" s="78">
        <f t="shared" si="0"/>
        <v>-685228.92666666664</v>
      </c>
      <c r="H6" s="81">
        <v>4.37</v>
      </c>
      <c r="I6" s="10">
        <v>1</v>
      </c>
      <c r="J6" s="11">
        <v>1</v>
      </c>
      <c r="K6" s="11">
        <v>1</v>
      </c>
      <c r="L6" s="11">
        <f t="shared" si="1"/>
        <v>3</v>
      </c>
      <c r="M6" s="11">
        <v>5</v>
      </c>
    </row>
    <row r="7" spans="1:13" ht="35.1" customHeight="1" thickBot="1" x14ac:dyDescent="0.55000000000000004">
      <c r="A7" s="59" t="s">
        <v>15</v>
      </c>
      <c r="B7" s="77">
        <v>1.56</v>
      </c>
      <c r="C7" s="77">
        <v>1.41</v>
      </c>
      <c r="D7" s="77">
        <v>1.1499999999999999</v>
      </c>
      <c r="E7" s="77">
        <v>9413420.0099999998</v>
      </c>
      <c r="F7" s="80">
        <v>-2426632.06</v>
      </c>
      <c r="G7" s="78">
        <f t="shared" si="0"/>
        <v>-808877.35333333339</v>
      </c>
      <c r="H7" s="81">
        <v>11.64</v>
      </c>
      <c r="I7" s="7">
        <v>0</v>
      </c>
      <c r="J7" s="11">
        <v>1</v>
      </c>
      <c r="K7" s="8">
        <v>0</v>
      </c>
      <c r="L7" s="11">
        <f t="shared" si="1"/>
        <v>1</v>
      </c>
      <c r="M7" s="11">
        <v>1</v>
      </c>
    </row>
    <row r="8" spans="1:13" ht="35.1" customHeight="1" thickBot="1" x14ac:dyDescent="0.55000000000000004">
      <c r="A8" s="59" t="s">
        <v>16</v>
      </c>
      <c r="B8" s="77">
        <v>2.56</v>
      </c>
      <c r="C8" s="77">
        <v>2.27</v>
      </c>
      <c r="D8" s="77">
        <v>1.68</v>
      </c>
      <c r="E8" s="77">
        <v>15949058.82</v>
      </c>
      <c r="F8" s="80">
        <v>-1246977.2</v>
      </c>
      <c r="G8" s="78">
        <f t="shared" si="0"/>
        <v>-415659.06666666665</v>
      </c>
      <c r="H8" s="81">
        <v>38.369999999999997</v>
      </c>
      <c r="I8" s="7">
        <v>0</v>
      </c>
      <c r="J8" s="11">
        <v>1</v>
      </c>
      <c r="K8" s="8">
        <v>0</v>
      </c>
      <c r="L8" s="11">
        <f t="shared" si="1"/>
        <v>1</v>
      </c>
      <c r="M8" s="11">
        <v>1</v>
      </c>
    </row>
    <row r="9" spans="1:13" ht="35.1" customHeight="1" thickBot="1" x14ac:dyDescent="0.55000000000000004">
      <c r="A9" s="59" t="s">
        <v>17</v>
      </c>
      <c r="B9" s="80">
        <v>1.1299999999999999</v>
      </c>
      <c r="C9" s="80">
        <v>0.97</v>
      </c>
      <c r="D9" s="77">
        <v>0.83</v>
      </c>
      <c r="E9" s="77">
        <v>2075467.16</v>
      </c>
      <c r="F9" s="77">
        <v>1859822.79</v>
      </c>
      <c r="G9" s="78">
        <f t="shared" si="0"/>
        <v>619940.93000000005</v>
      </c>
      <c r="H9" s="79">
        <f t="shared" ref="H9:H19" si="2">SUM(E9/G9)</f>
        <v>3.3478466408081813</v>
      </c>
      <c r="I9" s="10">
        <v>2</v>
      </c>
      <c r="J9" s="8">
        <v>0</v>
      </c>
      <c r="K9" s="8">
        <v>0</v>
      </c>
      <c r="L9" s="11">
        <f t="shared" si="1"/>
        <v>2</v>
      </c>
      <c r="M9" s="11">
        <v>2</v>
      </c>
    </row>
    <row r="10" spans="1:13" ht="35.1" customHeight="1" thickBot="1" x14ac:dyDescent="0.55000000000000004">
      <c r="A10" s="59" t="s">
        <v>18</v>
      </c>
      <c r="B10" s="77">
        <v>3.97</v>
      </c>
      <c r="C10" s="77">
        <v>3.69</v>
      </c>
      <c r="D10" s="77">
        <v>3.12</v>
      </c>
      <c r="E10" s="77">
        <v>61711845.270000003</v>
      </c>
      <c r="F10" s="77">
        <v>420392.48</v>
      </c>
      <c r="G10" s="78">
        <f t="shared" si="0"/>
        <v>140130.82666666666</v>
      </c>
      <c r="H10" s="79">
        <f t="shared" si="2"/>
        <v>440.38736328014244</v>
      </c>
      <c r="I10" s="7">
        <v>0</v>
      </c>
      <c r="J10" s="8">
        <v>0</v>
      </c>
      <c r="K10" s="8">
        <v>0</v>
      </c>
      <c r="L10" s="8">
        <f t="shared" si="1"/>
        <v>0</v>
      </c>
      <c r="M10" s="8">
        <v>0</v>
      </c>
    </row>
    <row r="11" spans="1:13" ht="35.1" customHeight="1" thickBot="1" x14ac:dyDescent="0.55000000000000004">
      <c r="A11" s="59" t="s">
        <v>19</v>
      </c>
      <c r="B11" s="80">
        <v>0.7</v>
      </c>
      <c r="C11" s="80">
        <v>0.51</v>
      </c>
      <c r="D11" s="80">
        <v>0.31</v>
      </c>
      <c r="E11" s="80">
        <v>-6626028.04</v>
      </c>
      <c r="F11" s="80">
        <v>-2686854.76</v>
      </c>
      <c r="G11" s="78">
        <f t="shared" si="0"/>
        <v>-895618.2533333333</v>
      </c>
      <c r="H11" s="79">
        <f t="shared" si="2"/>
        <v>7.3982726628662281</v>
      </c>
      <c r="I11" s="10">
        <v>3</v>
      </c>
      <c r="J11" s="11">
        <v>2</v>
      </c>
      <c r="K11" s="11">
        <v>2</v>
      </c>
      <c r="L11" s="11">
        <f t="shared" si="1"/>
        <v>7</v>
      </c>
      <c r="M11" s="11">
        <v>7</v>
      </c>
    </row>
    <row r="12" spans="1:13" ht="35.1" customHeight="1" thickBot="1" x14ac:dyDescent="0.55000000000000004">
      <c r="A12" s="59" t="s">
        <v>20</v>
      </c>
      <c r="B12" s="80">
        <v>1.33</v>
      </c>
      <c r="C12" s="77">
        <v>1.1000000000000001</v>
      </c>
      <c r="D12" s="77">
        <v>0.84</v>
      </c>
      <c r="E12" s="77">
        <v>4417121.6900000004</v>
      </c>
      <c r="F12" s="77">
        <v>986239.04</v>
      </c>
      <c r="G12" s="78">
        <f t="shared" si="0"/>
        <v>328746.34666666668</v>
      </c>
      <c r="H12" s="79">
        <f t="shared" si="2"/>
        <v>13.436260919056704</v>
      </c>
      <c r="I12" s="10">
        <v>1</v>
      </c>
      <c r="J12" s="8">
        <v>0</v>
      </c>
      <c r="K12" s="8">
        <v>0</v>
      </c>
      <c r="L12" s="11">
        <f t="shared" si="1"/>
        <v>1</v>
      </c>
      <c r="M12" s="11">
        <v>1</v>
      </c>
    </row>
    <row r="13" spans="1:13" ht="35.1" customHeight="1" thickBot="1" x14ac:dyDescent="0.55000000000000004">
      <c r="A13" s="59" t="s">
        <v>21</v>
      </c>
      <c r="B13" s="80">
        <v>1.5</v>
      </c>
      <c r="C13" s="77">
        <v>1.31</v>
      </c>
      <c r="D13" s="77">
        <v>0.9</v>
      </c>
      <c r="E13" s="77">
        <v>5941085.9000000004</v>
      </c>
      <c r="F13" s="80">
        <v>-1749276.57</v>
      </c>
      <c r="G13" s="78">
        <f t="shared" si="0"/>
        <v>-583092.19000000006</v>
      </c>
      <c r="H13" s="81">
        <v>10.19</v>
      </c>
      <c r="I13" s="10">
        <v>1</v>
      </c>
      <c r="J13" s="11">
        <v>1</v>
      </c>
      <c r="K13" s="8">
        <v>0</v>
      </c>
      <c r="L13" s="11">
        <f t="shared" si="1"/>
        <v>2</v>
      </c>
      <c r="M13" s="11">
        <v>1</v>
      </c>
    </row>
    <row r="14" spans="1:13" ht="35.1" customHeight="1" thickBot="1" x14ac:dyDescent="0.55000000000000004">
      <c r="A14" s="59" t="s">
        <v>22</v>
      </c>
      <c r="B14" s="80">
        <v>0.75</v>
      </c>
      <c r="C14" s="80">
        <v>0.49</v>
      </c>
      <c r="D14" s="80">
        <v>0.16</v>
      </c>
      <c r="E14" s="82">
        <v>-2980026.75</v>
      </c>
      <c r="F14" s="82">
        <v>-1324424.92</v>
      </c>
      <c r="G14" s="78">
        <f t="shared" si="0"/>
        <v>-441474.97333333333</v>
      </c>
      <c r="H14" s="79">
        <f t="shared" si="2"/>
        <v>6.7501600996755631</v>
      </c>
      <c r="I14" s="10">
        <v>3</v>
      </c>
      <c r="J14" s="11">
        <v>2</v>
      </c>
      <c r="K14" s="11">
        <v>2</v>
      </c>
      <c r="L14" s="11">
        <f t="shared" si="1"/>
        <v>7</v>
      </c>
      <c r="M14" s="11">
        <v>7</v>
      </c>
    </row>
    <row r="15" spans="1:13" ht="35.1" customHeight="1" thickBot="1" x14ac:dyDescent="0.55000000000000004">
      <c r="A15" s="59" t="s">
        <v>23</v>
      </c>
      <c r="B15" s="77">
        <v>5.28</v>
      </c>
      <c r="C15" s="77">
        <v>5.05</v>
      </c>
      <c r="D15" s="77">
        <v>4.82</v>
      </c>
      <c r="E15" s="77">
        <v>112988069.13</v>
      </c>
      <c r="F15" s="80">
        <v>-2969086.43</v>
      </c>
      <c r="G15" s="78">
        <f t="shared" si="0"/>
        <v>-989695.47666666668</v>
      </c>
      <c r="H15" s="81">
        <v>114.16</v>
      </c>
      <c r="I15" s="7">
        <v>0</v>
      </c>
      <c r="J15" s="11">
        <v>1</v>
      </c>
      <c r="K15" s="8">
        <v>0</v>
      </c>
      <c r="L15" s="11">
        <f t="shared" si="1"/>
        <v>1</v>
      </c>
      <c r="M15" s="11">
        <v>1</v>
      </c>
    </row>
    <row r="16" spans="1:13" ht="35.1" customHeight="1" thickBot="1" x14ac:dyDescent="0.55000000000000004">
      <c r="A16" s="59" t="s">
        <v>24</v>
      </c>
      <c r="B16" s="77">
        <v>2.8</v>
      </c>
      <c r="C16" s="77">
        <v>2.5299999999999998</v>
      </c>
      <c r="D16" s="77">
        <v>2.27</v>
      </c>
      <c r="E16" s="77">
        <v>8688554.5600000005</v>
      </c>
      <c r="F16" s="77">
        <v>231133.4</v>
      </c>
      <c r="G16" s="78">
        <f t="shared" si="0"/>
        <v>77044.46666666666</v>
      </c>
      <c r="H16" s="79">
        <f t="shared" si="2"/>
        <v>112.77324558025799</v>
      </c>
      <c r="I16" s="7">
        <v>0</v>
      </c>
      <c r="J16" s="8">
        <v>0</v>
      </c>
      <c r="K16" s="8">
        <v>0</v>
      </c>
      <c r="L16" s="8">
        <f t="shared" si="1"/>
        <v>0</v>
      </c>
      <c r="M16" s="11">
        <v>0</v>
      </c>
    </row>
    <row r="17" spans="1:13" ht="35.1" customHeight="1" thickBot="1" x14ac:dyDescent="0.55000000000000004">
      <c r="A17" s="59" t="s">
        <v>25</v>
      </c>
      <c r="B17" s="80">
        <v>1.25</v>
      </c>
      <c r="C17" s="77">
        <v>1.0900000000000001</v>
      </c>
      <c r="D17" s="80">
        <v>0.48</v>
      </c>
      <c r="E17" s="77">
        <v>3687445.38</v>
      </c>
      <c r="F17" s="77">
        <v>10726.84</v>
      </c>
      <c r="G17" s="78">
        <f t="shared" si="0"/>
        <v>3575.6133333333332</v>
      </c>
      <c r="H17" s="79">
        <f t="shared" si="2"/>
        <v>1031.2763255534715</v>
      </c>
      <c r="I17" s="10">
        <v>2</v>
      </c>
      <c r="J17" s="11">
        <v>0</v>
      </c>
      <c r="K17" s="11">
        <v>0</v>
      </c>
      <c r="L17" s="11">
        <f t="shared" si="1"/>
        <v>2</v>
      </c>
      <c r="M17" s="11">
        <v>4</v>
      </c>
    </row>
    <row r="18" spans="1:13" ht="35.1" customHeight="1" thickBot="1" x14ac:dyDescent="0.55000000000000004">
      <c r="A18" s="59" t="s">
        <v>26</v>
      </c>
      <c r="B18" s="80">
        <v>0.84</v>
      </c>
      <c r="C18" s="80">
        <v>0.69</v>
      </c>
      <c r="D18" s="80">
        <v>0.54</v>
      </c>
      <c r="E18" s="80">
        <v>-2210886.08</v>
      </c>
      <c r="F18" s="77">
        <v>2176501.7599999998</v>
      </c>
      <c r="G18" s="78">
        <f t="shared" si="0"/>
        <v>725500.58666666655</v>
      </c>
      <c r="H18" s="79">
        <f t="shared" si="2"/>
        <v>-3.0473939244597723</v>
      </c>
      <c r="I18" s="10">
        <v>3</v>
      </c>
      <c r="J18" s="11">
        <v>1</v>
      </c>
      <c r="K18" s="8">
        <v>0</v>
      </c>
      <c r="L18" s="11">
        <f t="shared" si="1"/>
        <v>4</v>
      </c>
      <c r="M18" s="11">
        <v>4</v>
      </c>
    </row>
    <row r="19" spans="1:13" ht="35.1" customHeight="1" thickBot="1" x14ac:dyDescent="0.55000000000000004">
      <c r="A19" s="59" t="s">
        <v>27</v>
      </c>
      <c r="B19" s="80">
        <v>1.41</v>
      </c>
      <c r="C19" s="77">
        <v>1.2</v>
      </c>
      <c r="D19" s="77">
        <v>0.94</v>
      </c>
      <c r="E19" s="77">
        <v>2917024.45</v>
      </c>
      <c r="F19" s="77">
        <v>2709414.05</v>
      </c>
      <c r="G19" s="78">
        <f t="shared" si="0"/>
        <v>903138.0166666666</v>
      </c>
      <c r="H19" s="79">
        <f t="shared" si="2"/>
        <v>3.2298767144874003</v>
      </c>
      <c r="I19" s="10">
        <v>1</v>
      </c>
      <c r="J19" s="8">
        <v>0</v>
      </c>
      <c r="K19" s="8">
        <v>0</v>
      </c>
      <c r="L19" s="11">
        <f t="shared" si="1"/>
        <v>1</v>
      </c>
      <c r="M19" s="11">
        <v>0</v>
      </c>
    </row>
    <row r="20" spans="1:13" ht="9" customHeight="1" x14ac:dyDescent="0.35">
      <c r="B20" s="12"/>
      <c r="C20" s="12"/>
      <c r="D20" s="12"/>
      <c r="E20" s="12"/>
      <c r="F20" s="12"/>
      <c r="H20" s="13"/>
    </row>
    <row r="21" spans="1:13" ht="22.5" customHeight="1" x14ac:dyDescent="0.55000000000000004">
      <c r="A21" s="14"/>
      <c r="B21" s="15"/>
      <c r="C21" s="15"/>
      <c r="D21" s="15"/>
      <c r="E21" s="16"/>
      <c r="F21" s="16"/>
      <c r="G21" s="17" t="s">
        <v>28</v>
      </c>
      <c r="H21" s="18"/>
      <c r="I21" s="19"/>
      <c r="J21" s="20"/>
      <c r="K21" s="21"/>
      <c r="L21" s="21"/>
    </row>
    <row r="22" spans="1:13" ht="26.25" x14ac:dyDescent="0.55000000000000004">
      <c r="A22" s="67" t="s">
        <v>29</v>
      </c>
      <c r="B22" s="16"/>
      <c r="C22" s="16"/>
      <c r="D22" s="16"/>
      <c r="E22" s="16"/>
      <c r="F22" s="16"/>
      <c r="G22" s="23" t="s">
        <v>30</v>
      </c>
      <c r="H22" s="643" t="s">
        <v>31</v>
      </c>
      <c r="I22" s="643"/>
      <c r="J22" s="24" t="s">
        <v>32</v>
      </c>
      <c r="K22" s="25"/>
      <c r="L22" s="26"/>
    </row>
    <row r="23" spans="1:13" ht="26.25" x14ac:dyDescent="0.55000000000000004">
      <c r="A23" s="67"/>
      <c r="B23" s="16"/>
      <c r="C23" s="16"/>
      <c r="D23" s="16"/>
      <c r="E23" s="16"/>
      <c r="F23" s="16"/>
      <c r="G23" s="27" t="s">
        <v>33</v>
      </c>
      <c r="H23" s="643"/>
      <c r="I23" s="643"/>
      <c r="J23" s="24" t="s">
        <v>34</v>
      </c>
      <c r="K23" s="25"/>
      <c r="L23" s="26"/>
    </row>
    <row r="24" spans="1:13" ht="26.25" x14ac:dyDescent="0.55000000000000004">
      <c r="A24" s="28" t="s">
        <v>35</v>
      </c>
      <c r="B24" s="16"/>
      <c r="C24" s="16"/>
      <c r="D24" s="16"/>
      <c r="E24" s="16"/>
      <c r="F24" s="16"/>
      <c r="G24" s="29" t="s">
        <v>36</v>
      </c>
      <c r="H24" s="643" t="s">
        <v>31</v>
      </c>
      <c r="I24" s="643"/>
      <c r="J24" s="644" t="s">
        <v>37</v>
      </c>
      <c r="K24" s="645"/>
      <c r="L24" s="645"/>
    </row>
    <row r="25" spans="1:13" ht="26.25" x14ac:dyDescent="0.55000000000000004">
      <c r="A25" s="67"/>
      <c r="B25" s="16"/>
      <c r="C25" s="16"/>
      <c r="D25" s="16"/>
      <c r="E25" s="16"/>
      <c r="F25" s="16"/>
      <c r="G25" s="27" t="s">
        <v>33</v>
      </c>
      <c r="H25" s="643"/>
      <c r="I25" s="643"/>
      <c r="J25" s="24" t="s">
        <v>34</v>
      </c>
      <c r="K25" s="30"/>
      <c r="L25" s="31"/>
    </row>
    <row r="26" spans="1:13" ht="26.25" x14ac:dyDescent="0.55000000000000004">
      <c r="A26" s="67" t="s">
        <v>38</v>
      </c>
      <c r="B26" s="16"/>
      <c r="C26" s="16"/>
      <c r="D26" s="16"/>
      <c r="E26" s="16"/>
      <c r="F26" s="27" t="s">
        <v>39</v>
      </c>
      <c r="G26" s="646" t="s">
        <v>31</v>
      </c>
      <c r="H26" s="646"/>
      <c r="I26" s="32" t="s">
        <v>40</v>
      </c>
      <c r="J26" s="33"/>
      <c r="K26" s="34"/>
      <c r="L26" s="34"/>
    </row>
    <row r="27" spans="1:13" ht="26.25" x14ac:dyDescent="0.55000000000000004">
      <c r="A27" s="35" t="s">
        <v>41</v>
      </c>
      <c r="B27" s="16"/>
      <c r="C27" s="16"/>
      <c r="D27" s="16"/>
      <c r="E27" s="16"/>
      <c r="F27" s="36" t="s">
        <v>42</v>
      </c>
      <c r="G27" s="37"/>
      <c r="H27" s="38"/>
      <c r="I27" s="32" t="s">
        <v>43</v>
      </c>
      <c r="J27" s="33"/>
      <c r="K27" s="31"/>
      <c r="L27" s="31"/>
    </row>
    <row r="28" spans="1:13" ht="11.25" customHeight="1" x14ac:dyDescent="0.55000000000000004">
      <c r="F28" s="16"/>
      <c r="G28" s="39"/>
      <c r="H28" s="40"/>
      <c r="I28" s="39"/>
      <c r="J28" s="39"/>
      <c r="K28" s="41"/>
      <c r="L28" s="41"/>
    </row>
    <row r="29" spans="1:13" ht="23.25" customHeight="1" x14ac:dyDescent="0.55000000000000004">
      <c r="A29" s="39"/>
      <c r="B29" s="16"/>
      <c r="C29" s="16"/>
      <c r="D29" s="16"/>
      <c r="E29" s="16"/>
      <c r="F29" s="16"/>
      <c r="G29" s="23" t="s">
        <v>44</v>
      </c>
      <c r="H29" s="643" t="s">
        <v>31</v>
      </c>
      <c r="I29" s="643"/>
      <c r="J29" s="24" t="s">
        <v>32</v>
      </c>
      <c r="K29" s="25"/>
      <c r="L29" s="26"/>
    </row>
    <row r="30" spans="1:13" ht="21.75" customHeight="1" x14ac:dyDescent="0.55000000000000004">
      <c r="A30" s="39"/>
      <c r="B30" s="16"/>
      <c r="C30" s="16"/>
      <c r="D30" s="16"/>
      <c r="E30" s="16"/>
      <c r="F30" s="16"/>
      <c r="G30" s="27" t="s">
        <v>33</v>
      </c>
      <c r="H30" s="643"/>
      <c r="I30" s="643"/>
      <c r="J30" s="24" t="s">
        <v>34</v>
      </c>
      <c r="K30" s="25"/>
      <c r="L30" s="26"/>
    </row>
    <row r="31" spans="1:13" ht="26.25" x14ac:dyDescent="0.55000000000000004">
      <c r="A31" s="42" t="s">
        <v>45</v>
      </c>
      <c r="B31" s="16"/>
      <c r="C31" s="16"/>
      <c r="D31" s="16"/>
      <c r="E31" s="16"/>
      <c r="F31" s="43"/>
      <c r="G31" s="39"/>
      <c r="H31" s="40"/>
      <c r="I31" s="39"/>
      <c r="J31" s="39"/>
      <c r="K31" s="41"/>
      <c r="L31" s="41"/>
    </row>
    <row r="32" spans="1:13" ht="26.25" x14ac:dyDescent="0.55000000000000004">
      <c r="A32" s="67" t="s">
        <v>46</v>
      </c>
      <c r="B32" s="16"/>
      <c r="C32" s="16"/>
      <c r="D32" s="16"/>
      <c r="E32" s="16"/>
      <c r="F32" s="16"/>
      <c r="G32" s="39"/>
      <c r="H32" s="40"/>
      <c r="I32" s="39"/>
      <c r="J32" s="39"/>
      <c r="K32" s="41"/>
      <c r="L32" s="41"/>
    </row>
    <row r="33" spans="1:12" ht="26.25" x14ac:dyDescent="0.55000000000000004">
      <c r="A33" s="42" t="s">
        <v>47</v>
      </c>
      <c r="B33" s="16"/>
      <c r="C33" s="16"/>
      <c r="D33" s="16"/>
      <c r="E33" s="16"/>
      <c r="F33" s="16"/>
      <c r="G33" s="39"/>
      <c r="H33" s="40"/>
      <c r="I33" s="39"/>
      <c r="J33" s="39"/>
      <c r="K33" s="41"/>
      <c r="L33" s="41"/>
    </row>
    <row r="34" spans="1:12" ht="26.25" x14ac:dyDescent="0.55000000000000004">
      <c r="A34" s="42" t="s">
        <v>48</v>
      </c>
      <c r="B34" s="16"/>
      <c r="C34" s="16"/>
      <c r="D34" s="16"/>
      <c r="E34" s="16"/>
      <c r="F34" s="16"/>
      <c r="G34" s="39"/>
      <c r="H34" s="40"/>
      <c r="I34" s="39"/>
      <c r="J34" s="39"/>
      <c r="K34" s="41"/>
      <c r="L34" s="41"/>
    </row>
    <row r="35" spans="1:12" ht="26.25" x14ac:dyDescent="0.55000000000000004">
      <c r="A35" s="42" t="s">
        <v>49</v>
      </c>
      <c r="B35" s="16"/>
      <c r="C35" s="67"/>
      <c r="D35" s="44"/>
      <c r="E35" s="44"/>
      <c r="F35" s="44"/>
      <c r="G35" s="45"/>
      <c r="H35" s="40"/>
      <c r="I35" s="39"/>
      <c r="J35" s="39"/>
      <c r="K35" s="41"/>
      <c r="L35" s="41"/>
    </row>
    <row r="36" spans="1:12" ht="26.25" x14ac:dyDescent="0.55000000000000004">
      <c r="A36" s="39"/>
      <c r="B36" s="16"/>
      <c r="C36" s="67" t="s">
        <v>50</v>
      </c>
      <c r="D36" s="16"/>
      <c r="E36" s="16"/>
      <c r="F36" s="16"/>
      <c r="G36" s="39"/>
      <c r="H36" s="40"/>
      <c r="I36" s="39"/>
      <c r="J36" s="39"/>
      <c r="K36" s="41"/>
      <c r="L36" s="41"/>
    </row>
    <row r="37" spans="1:12" ht="26.25" x14ac:dyDescent="0.55000000000000004">
      <c r="A37" s="39"/>
      <c r="B37" s="16"/>
      <c r="C37" s="67" t="s">
        <v>51</v>
      </c>
      <c r="D37" s="16"/>
      <c r="E37" s="16"/>
      <c r="F37" s="16"/>
      <c r="G37" s="39"/>
      <c r="H37" s="40"/>
      <c r="I37" s="39"/>
      <c r="J37" s="39"/>
      <c r="K37" s="41"/>
      <c r="L37" s="41"/>
    </row>
    <row r="38" spans="1:12" ht="26.25" x14ac:dyDescent="0.55000000000000004">
      <c r="A38" s="39"/>
      <c r="B38" s="16"/>
      <c r="C38" s="67" t="s">
        <v>52</v>
      </c>
      <c r="D38" s="16"/>
      <c r="E38" s="16"/>
      <c r="F38" s="16"/>
      <c r="G38" s="39"/>
      <c r="H38" s="40"/>
      <c r="I38" s="39"/>
      <c r="J38" s="39"/>
      <c r="K38" s="41"/>
      <c r="L38" s="41"/>
    </row>
    <row r="39" spans="1:12" ht="26.25" x14ac:dyDescent="0.55000000000000004">
      <c r="A39" s="41" t="s">
        <v>53</v>
      </c>
      <c r="B39" s="16"/>
      <c r="C39" s="16"/>
      <c r="D39" s="16"/>
      <c r="E39" s="16"/>
      <c r="F39" s="16"/>
      <c r="G39" s="39"/>
      <c r="H39" s="40"/>
      <c r="I39" s="39"/>
      <c r="J39" s="39"/>
      <c r="K39" s="41"/>
      <c r="L39" s="41"/>
    </row>
    <row r="40" spans="1:12" ht="26.25" x14ac:dyDescent="0.55000000000000004">
      <c r="A40" s="42" t="s">
        <v>54</v>
      </c>
      <c r="B40" s="16"/>
      <c r="C40" s="16"/>
      <c r="D40" s="16"/>
      <c r="E40" s="16"/>
      <c r="F40" s="16"/>
      <c r="G40" s="39"/>
      <c r="H40" s="40"/>
      <c r="I40" s="39"/>
      <c r="J40" s="39"/>
      <c r="K40" s="41"/>
      <c r="L40" s="41"/>
    </row>
    <row r="41" spans="1:12" s="47" customFormat="1" ht="26.25" x14ac:dyDescent="0.55000000000000004">
      <c r="A41" s="663" t="s">
        <v>63</v>
      </c>
      <c r="B41" s="663"/>
      <c r="C41" s="663"/>
      <c r="D41" s="16"/>
      <c r="E41" s="16"/>
      <c r="F41" s="16"/>
      <c r="G41" s="16"/>
      <c r="H41" s="46"/>
      <c r="I41" s="39"/>
      <c r="J41" s="39"/>
      <c r="K41" s="39"/>
      <c r="L41" s="39"/>
    </row>
    <row r="42" spans="1:12" x14ac:dyDescent="0.2">
      <c r="A42" t="s">
        <v>64</v>
      </c>
    </row>
    <row r="45" spans="1:12" ht="23.25" x14ac:dyDescent="0.5">
      <c r="A45" s="48"/>
      <c r="B45" s="49"/>
      <c r="C45" s="49"/>
      <c r="D45" s="50"/>
      <c r="E45" s="51"/>
      <c r="F45" s="52"/>
      <c r="G45" s="52"/>
      <c r="H45" s="53"/>
      <c r="I45" s="54"/>
      <c r="J45" s="54"/>
      <c r="K45" s="54"/>
      <c r="L45" s="54"/>
    </row>
    <row r="48" spans="1:12" ht="15" x14ac:dyDescent="0.2">
      <c r="I48" s="55"/>
      <c r="J48" s="55"/>
      <c r="K48" s="55"/>
      <c r="L48" s="55"/>
    </row>
  </sheetData>
  <mergeCells count="18">
    <mergeCell ref="A41:C41"/>
    <mergeCell ref="G2:G3"/>
    <mergeCell ref="I2:I3"/>
    <mergeCell ref="J2:J3"/>
    <mergeCell ref="K2:K3"/>
    <mergeCell ref="H22:I23"/>
    <mergeCell ref="H24:I25"/>
    <mergeCell ref="J24:L24"/>
    <mergeCell ref="G26:H26"/>
    <mergeCell ref="H29:I30"/>
    <mergeCell ref="L2:L3"/>
    <mergeCell ref="M2:M3"/>
    <mergeCell ref="A2:A3"/>
    <mergeCell ref="B2:B3"/>
    <mergeCell ref="C2:C3"/>
    <mergeCell ref="D2:D3"/>
    <mergeCell ref="E2:E3"/>
    <mergeCell ref="F2:F3"/>
  </mergeCells>
  <pageMargins left="0.11811023622047245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27</vt:i4>
      </vt:variant>
    </vt:vector>
  </HeadingPairs>
  <TitlesOfParts>
    <vt:vector size="27" baseType="lpstr">
      <vt:lpstr>ธค57</vt:lpstr>
      <vt:lpstr>มีค.58</vt:lpstr>
      <vt:lpstr>มิย.58</vt:lpstr>
      <vt:lpstr>กค.58</vt:lpstr>
      <vt:lpstr>สค.58</vt:lpstr>
      <vt:lpstr>กย58</vt:lpstr>
      <vt:lpstr>ตค58</vt:lpstr>
      <vt:lpstr>พย58</vt:lpstr>
      <vt:lpstr>ธค58</vt:lpstr>
      <vt:lpstr>มค59</vt:lpstr>
      <vt:lpstr>กพ59</vt:lpstr>
      <vt:lpstr>มีค59</vt:lpstr>
      <vt:lpstr>เมย59</vt:lpstr>
      <vt:lpstr>พค.59</vt:lpstr>
      <vt:lpstr>กค59</vt:lpstr>
      <vt:lpstr>สค59</vt:lpstr>
      <vt:lpstr>นำเสนอtrend</vt:lpstr>
      <vt:lpstr>Sheet5</vt:lpstr>
      <vt:lpstr>Sheet5 (2)</vt:lpstr>
      <vt:lpstr>plusสค59</vt:lpstr>
      <vt:lpstr>กย59</vt:lpstr>
      <vt:lpstr>plusก.ย59 </vt:lpstr>
      <vt:lpstr>กย59 (N)</vt:lpstr>
      <vt:lpstr>ต.ค.59</vt:lpstr>
      <vt:lpstr>พ.ย.59</vt:lpstr>
      <vt:lpstr>ธ.ค.59 </vt:lpstr>
      <vt:lpstr>ม.ค.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ssj</cp:lastModifiedBy>
  <cp:lastPrinted>2017-02-21T03:13:37Z</cp:lastPrinted>
  <dcterms:created xsi:type="dcterms:W3CDTF">2015-09-25T02:19:42Z</dcterms:created>
  <dcterms:modified xsi:type="dcterms:W3CDTF">2017-02-27T07:36:06Z</dcterms:modified>
</cp:coreProperties>
</file>